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partagés\11_GFI_RH\11_SITE_INTERNET\Documents RH\Chiffres essentiels Paie\Charges sociales\"/>
    </mc:Choice>
  </mc:AlternateContent>
  <xr:revisionPtr revIDLastSave="0" documentId="8_{651C823A-3F60-43E1-AFDB-C256FFA9A0EC}" xr6:coauthVersionLast="47" xr6:coauthVersionMax="47" xr10:uidLastSave="{00000000-0000-0000-0000-000000000000}"/>
  <bookViews>
    <workbookView xWindow="28680" yWindow="-120" windowWidth="29040" windowHeight="15840" xr2:uid="{6B084BED-53DE-4365-9EE3-853F9538B608}"/>
  </bookViews>
  <sheets>
    <sheet name="CDI (réf. 1477h)" sheetId="1" r:id="rId1"/>
    <sheet name="CDI (réf. 1565h)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1" i="2"/>
  <c r="G21" i="2" s="1"/>
  <c r="E11" i="1"/>
  <c r="K15" i="1"/>
  <c r="F11" i="2"/>
  <c r="D14" i="2" s="1"/>
  <c r="D15" i="2" s="1"/>
  <c r="E28" i="1"/>
  <c r="E27" i="2"/>
  <c r="G22" i="2"/>
  <c r="K22" i="2" s="1"/>
  <c r="F28" i="2"/>
  <c r="G28" i="2" s="1"/>
  <c r="F29" i="1"/>
  <c r="K13" i="1"/>
  <c r="K18" i="1"/>
  <c r="F33" i="2"/>
  <c r="E33" i="2"/>
  <c r="K18" i="2"/>
  <c r="K15" i="2" s="1"/>
  <c r="G33" i="2" l="1"/>
  <c r="K21" i="2"/>
  <c r="G24" i="2"/>
  <c r="K24" i="2" s="1"/>
  <c r="K28" i="2"/>
  <c r="A36" i="2"/>
  <c r="G23" i="2" l="1"/>
  <c r="K23" i="2" s="1"/>
  <c r="G25" i="2" l="1"/>
  <c r="E29" i="2" s="1"/>
  <c r="G39" i="2" l="1"/>
  <c r="J39" i="2" s="1"/>
  <c r="K25" i="2"/>
  <c r="K29" i="2"/>
  <c r="K33" i="2" s="1"/>
  <c r="G27" i="2"/>
  <c r="E31" i="2"/>
  <c r="G29" i="2"/>
  <c r="F34" i="1"/>
  <c r="E34" i="1"/>
  <c r="G29" i="1"/>
  <c r="G22" i="1"/>
  <c r="K22" i="1" s="1"/>
  <c r="G21" i="1"/>
  <c r="F11" i="1"/>
  <c r="D14" i="1" s="1"/>
  <c r="D15" i="1" s="1"/>
  <c r="G31" i="2" l="1"/>
  <c r="G32" i="2" s="1"/>
  <c r="G36" i="2" s="1"/>
  <c r="K36" i="2" s="1"/>
  <c r="K37" i="2" s="1"/>
  <c r="K29" i="1"/>
  <c r="G34" i="1"/>
  <c r="K21" i="1"/>
  <c r="G23" i="1" s="1"/>
  <c r="A37" i="1"/>
  <c r="G25" i="1"/>
  <c r="K25" i="1" s="1"/>
  <c r="B38" i="2" l="1"/>
  <c r="J40" i="2"/>
  <c r="K23" i="1" l="1"/>
  <c r="G26" i="1"/>
  <c r="G40" i="1" l="1"/>
  <c r="J40" i="1" s="1"/>
  <c r="E30" i="1"/>
  <c r="E32" i="1" s="1"/>
  <c r="K30" i="1"/>
  <c r="K34" i="1" s="1"/>
  <c r="K26" i="1"/>
  <c r="G28" i="1"/>
  <c r="G30" i="1" l="1"/>
  <c r="G32" i="1" s="1"/>
  <c r="G33" i="1" s="1"/>
  <c r="G37" i="1" s="1"/>
  <c r="B39" i="1" s="1"/>
  <c r="J41" i="1" l="1"/>
  <c r="K37" i="1"/>
  <c r="K38" i="1" s="1"/>
</calcChain>
</file>

<file path=xl/sharedStrings.xml><?xml version="1.0" encoding="utf-8"?>
<sst xmlns="http://schemas.openxmlformats.org/spreadsheetml/2006/main" count="134" uniqueCount="62">
  <si>
    <t xml:space="preserve">ASSOCIATION  </t>
  </si>
  <si>
    <t>Agent de service en école privée</t>
  </si>
  <si>
    <t>SALARIE ( E ) :</t>
  </si>
  <si>
    <t>NOM-Prénom</t>
  </si>
  <si>
    <r>
      <t xml:space="preserve">BUDGET PREVISIONNEL   </t>
    </r>
    <r>
      <rPr>
        <sz val="12"/>
        <rFont val="Calibri"/>
        <family val="2"/>
        <scheme val="minor"/>
      </rPr>
      <t>(NB : cette feuille de calcul ne concerne pas les contrats aidés)</t>
    </r>
  </si>
  <si>
    <t xml:space="preserve">Valeur du point en vigueur à compter du </t>
  </si>
  <si>
    <t>Annuelle</t>
  </si>
  <si>
    <t>Mensuelle</t>
  </si>
  <si>
    <t>DUREE ANNUELLE TRAV. EFFECTIVE TEMPS PLEIN J.SOLIDARITE INCLUSE</t>
  </si>
  <si>
    <t>€</t>
  </si>
  <si>
    <t>DUREE ANNUELLE TRAV.</t>
  </si>
  <si>
    <t>(Horaire hebdo /35h x 1477)</t>
  </si>
  <si>
    <t xml:space="preserve">COEFFICIENT DE REMUNERATION </t>
  </si>
  <si>
    <t>POINTS</t>
  </si>
  <si>
    <r>
      <t xml:space="preserve">HORAIRE </t>
    </r>
    <r>
      <rPr>
        <b/>
        <sz val="9"/>
        <rFont val="Calibri"/>
        <family val="2"/>
        <scheme val="minor"/>
      </rPr>
      <t xml:space="preserve">MOYEN </t>
    </r>
    <r>
      <rPr>
        <sz val="9"/>
        <rFont val="Calibri"/>
        <family val="2"/>
        <scheme val="minor"/>
      </rPr>
      <t xml:space="preserve">REMUNERE HEBDO.= </t>
    </r>
  </si>
  <si>
    <t>H</t>
  </si>
  <si>
    <t>(Horaire Mensuel x 12 / 52)</t>
  </si>
  <si>
    <r>
      <t xml:space="preserve">HORAIRE MENSUEL REMUNERE </t>
    </r>
    <r>
      <rPr>
        <sz val="9"/>
        <rFont val="Calibri"/>
        <family val="2"/>
        <scheme val="minor"/>
      </rPr>
      <t>(cf. Bulletin de salaire rub 200 colonne Base)</t>
    </r>
  </si>
  <si>
    <r>
      <t xml:space="preserve"> H </t>
    </r>
    <r>
      <rPr>
        <sz val="11"/>
        <rFont val="Calibri"/>
        <family val="2"/>
        <scheme val="minor"/>
      </rPr>
      <t>par MOIS</t>
    </r>
  </si>
  <si>
    <r>
      <t>TRAITEMENT DE BASE BRUT</t>
    </r>
    <r>
      <rPr>
        <b/>
        <sz val="8"/>
        <color rgb="FF000099"/>
        <rFont val="Calibri"/>
        <family val="2"/>
        <scheme val="minor"/>
      </rPr>
      <t xml:space="preserve"> </t>
    </r>
    <r>
      <rPr>
        <sz val="8"/>
        <color rgb="FF000099"/>
        <rFont val="Calibri"/>
        <family val="2"/>
        <scheme val="minor"/>
      </rPr>
      <t>(Valeur du point x coef.x HMR /151,67h)</t>
    </r>
  </si>
  <si>
    <t xml:space="preserve">Taux hor. de base = </t>
  </si>
  <si>
    <t>Ajustement SMIC si taux horaire&lt; SMIC</t>
  </si>
  <si>
    <r>
      <t xml:space="preserve"> Avantages en nature </t>
    </r>
    <r>
      <rPr>
        <sz val="10"/>
        <color indexed="10"/>
        <rFont val="Calibri"/>
        <family val="2"/>
        <scheme val="minor"/>
      </rPr>
      <t>(si repas gratuit</t>
    </r>
    <r>
      <rPr>
        <sz val="9"/>
        <color indexed="10"/>
        <rFont val="Calibri"/>
        <family val="2"/>
        <scheme val="minor"/>
      </rPr>
      <t xml:space="preserve"> pris</t>
    </r>
    <r>
      <rPr>
        <b/>
        <sz val="9"/>
        <color indexed="10"/>
        <rFont val="Calibri"/>
        <family val="2"/>
        <scheme val="minor"/>
      </rPr>
      <t xml:space="preserve"> saisir 12 </t>
    </r>
    <r>
      <rPr>
        <sz val="9"/>
        <color indexed="10"/>
        <rFont val="Calibri"/>
        <family val="2"/>
        <scheme val="minor"/>
      </rPr>
      <t>dans la zone</t>
    </r>
    <r>
      <rPr>
        <b/>
        <sz val="9"/>
        <color indexed="10"/>
        <rFont val="Calibri"/>
        <family val="2"/>
        <scheme val="minor"/>
      </rPr>
      <t>)</t>
    </r>
  </si>
  <si>
    <t xml:space="preserve">Taux horaire  = </t>
  </si>
  <si>
    <r>
      <t xml:space="preserve"> Accord région.de prév. </t>
    </r>
    <r>
      <rPr>
        <sz val="7"/>
        <rFont val="Calibri"/>
        <family val="2"/>
        <scheme val="minor"/>
      </rPr>
      <t>(</t>
    </r>
    <r>
      <rPr>
        <sz val="7"/>
        <color rgb="FFFF0000"/>
        <rFont val="Calibri"/>
        <family val="2"/>
        <scheme val="minor"/>
      </rPr>
      <t>saisir 11 pts uniquement pour les salariés engagés avant 05/2012</t>
    </r>
    <r>
      <rPr>
        <sz val="7"/>
        <rFont val="Calibri"/>
        <family val="2"/>
        <scheme val="minor"/>
      </rPr>
      <t>)</t>
    </r>
  </si>
  <si>
    <t>SALAIRE BRUT                                                          (SB)</t>
  </si>
  <si>
    <t>=</t>
  </si>
  <si>
    <t xml:space="preserve">Taux horaire brut = </t>
  </si>
  <si>
    <t>Mutuelle obligatoire saisir 'AFF' sinon mettre "O "</t>
  </si>
  <si>
    <t>AFF</t>
  </si>
  <si>
    <t xml:space="preserve">Réduction générale cotisations sociales et retraite </t>
  </si>
  <si>
    <t>Salaire net avant av.nat. pris =</t>
  </si>
  <si>
    <t>TOTAL COTISATIONS PATRONALES</t>
  </si>
  <si>
    <t>COÛT MENSUEL</t>
  </si>
  <si>
    <t>par MOIS</t>
  </si>
  <si>
    <r>
      <t xml:space="preserve"> Avantages en nature repas pris</t>
    </r>
    <r>
      <rPr>
        <sz val="9"/>
        <color indexed="19"/>
        <rFont val="Calibri"/>
        <family val="2"/>
        <scheme val="minor"/>
      </rPr>
      <t xml:space="preserve"> (le cas échéant)</t>
    </r>
  </si>
  <si>
    <t>Salaire net estimé =</t>
  </si>
  <si>
    <t>€uros</t>
  </si>
  <si>
    <t xml:space="preserve">Coût horaire </t>
  </si>
  <si>
    <t>DU TEMPS PLEIN</t>
  </si>
  <si>
    <r>
      <t xml:space="preserve">COÛT </t>
    </r>
    <r>
      <rPr>
        <b/>
        <sz val="8"/>
        <rFont val="Calibri"/>
        <family val="2"/>
        <scheme val="minor"/>
      </rPr>
      <t>PREVISIONNEL</t>
    </r>
  </si>
  <si>
    <t>par AN</t>
  </si>
  <si>
    <t>Estimation coût d'une heure de travail effectif (réf tps plein 1477h par an)</t>
  </si>
  <si>
    <t>coût temps plein estimé à</t>
  </si>
  <si>
    <t>PROVISION IND.COMP. DE CONGES PAYES Estimation</t>
  </si>
  <si>
    <t>SB  x 12 =</t>
  </si>
  <si>
    <t xml:space="preserve">TOTAL ESTIMATION BUDGET ANNUEL </t>
  </si>
  <si>
    <t>(Provision charges incluses + Coût prévisionnel)</t>
  </si>
  <si>
    <t>La taxe sur salaires est exclue de ce calcul compte tenu de l'abattement pour les associations qui sera supérieur au montant de la taxe due pour 2021.</t>
  </si>
  <si>
    <t xml:space="preserve">L'abattement pour les associations est en effet passé de 6.002 € en 2013 à 20.000 € et plus depuis l'année 2014. </t>
  </si>
  <si>
    <t>Le PAS n'est pas inidqué puisqu'il s'agit d'une opération blanche pour l'employeur</t>
  </si>
  <si>
    <t>Employé(e) d'entretien ou de restauration ou administratif</t>
  </si>
  <si>
    <t>Estimation coût d'une heure de travail effectif (réf tps plein 1565h par an)</t>
  </si>
  <si>
    <t>NB : pensez à provisionner l'IDR si votre salarié.e atteind l'âge de 57 ans.</t>
  </si>
  <si>
    <t>PLAFOND SECURITE SOCIALE 2022</t>
  </si>
  <si>
    <r>
      <t xml:space="preserve">Cotisations patronales </t>
    </r>
    <r>
      <rPr>
        <sz val="8"/>
        <rFont val="Calibri"/>
        <family val="2"/>
        <scheme val="minor"/>
      </rPr>
      <t>(dont AT 1,26 % activité école et ajouter 2,74% si taux cantine)</t>
    </r>
  </si>
  <si>
    <t>Mutuelle obligatoire saisir 'AFF' sinon mettre "N "</t>
  </si>
  <si>
    <r>
      <t>x</t>
    </r>
    <r>
      <rPr>
        <b/>
        <sz val="10"/>
        <rFont val="Calibri"/>
        <family val="2"/>
        <scheme val="minor"/>
      </rPr>
      <t xml:space="preserve"> 12%</t>
    </r>
    <r>
      <rPr>
        <sz val="10"/>
        <rFont val="Calibri"/>
        <family val="2"/>
        <scheme val="minor"/>
      </rPr>
      <t xml:space="preserve">  x 1,36366 =</t>
    </r>
  </si>
  <si>
    <r>
      <t>x</t>
    </r>
    <r>
      <rPr>
        <b/>
        <sz val="10"/>
        <rFont val="Calibri"/>
        <family val="2"/>
        <scheme val="minor"/>
      </rPr>
      <t xml:space="preserve"> 17%</t>
    </r>
    <r>
      <rPr>
        <sz val="10"/>
        <rFont val="Calibri"/>
        <family val="2"/>
        <scheme val="minor"/>
      </rPr>
      <t xml:space="preserve">  x 1,36366 =</t>
    </r>
  </si>
  <si>
    <t xml:space="preserve">Taux horaire brut Minimal Conventionnel  </t>
  </si>
  <si>
    <r>
      <rPr>
        <b/>
        <sz val="12"/>
        <color rgb="FF0070C0"/>
        <rFont val="Calibri"/>
        <family val="2"/>
        <scheme val="minor"/>
      </rPr>
      <t>Valeur du SMIC au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01/08/2022</t>
    </r>
  </si>
  <si>
    <r>
      <t xml:space="preserve">Salaire Minimum Branche au </t>
    </r>
    <r>
      <rPr>
        <b/>
        <sz val="12"/>
        <color rgb="FFC00000"/>
        <rFont val="Calibri"/>
        <family val="2"/>
        <scheme val="minor"/>
      </rPr>
      <t>01/10/2022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</si>
</sst>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0.0000"/>
    <numFmt numFmtId="165" formatCode="0.00000"/>
    <numFmt numFmtId="166" formatCode="_-* #,##0.00\ [$€]_-;\-* #,##0.00\ [$€]_-;_-* &quot;-&quot;??\ [$€]_-;_-@_-"/>
    <numFmt numFmtId="167" formatCode="_-* #,##0.00\ [$€-81D]_-;\-* #,##0.00\ [$€-81D]_-;_-* &quot;-&quot;???\ [$€-81D]_-;_-@_-"/>
    <numFmt numFmtId="168" formatCode="0.000000"/>
    <numFmt numFmtId="169" formatCode="_-* #,##0.0000\ &quot;€&quot;_-;\-* #,##0.0000\ &quot;€&quot;_-;_-* &quot;-&quot;??\ &quot;€&quot;_-;_-@_-"/>
    <numFmt numFmtId="170" formatCode="_-* #,##0\ &quot;€&quot;_-;\-* #,##0\ &quot;€&quot;_-;_-* &quot;-&quot;??\ &quot;€&quot;_-;_-@_-"/>
    <numFmt numFmtId="171" formatCode="_-* #,##0.000\ [$€]_-;\-* #,##0.000\ [$€]_-;_-* &quot;-&quot;??\ [$€]_-;_-@_-"/>
    <numFmt numFmtId="172" formatCode="0.000%"/>
    <numFmt numFmtId="173" formatCode="#,##0.00_ ;\-#,##0.00\ "/>
    <numFmt numFmtId="174" formatCode="_-* #,##0\ [$€-81D]_-;\-* #,##0\ [$€-81D]_-;_-* &quot;-&quot;???\ [$€-81D]_-;_-@_-"/>
    <numFmt numFmtId="175" formatCode="_-* #,##0.0\ &quot;€&quot;_-;\-* #,##0.0\ &quot;€&quot;_-;_-* &quot;-&quot;??\ &quot;€&quot;_-;_-@_-"/>
    <numFmt numFmtId="176" formatCode="_-* #,##0.00\ [$€-40C]_-;\-* #,##0.00\ [$€-40C]_-;_-* &quot;-&quot;??\ [$€-40C]_-;_-@_-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Helv"/>
    </font>
    <font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7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9"/>
      <color rgb="FFFFFF99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8"/>
      <color rgb="FF000099"/>
      <name val="Calibri"/>
      <family val="2"/>
      <scheme val="minor"/>
    </font>
    <font>
      <sz val="8"/>
      <color rgb="FF000099"/>
      <name val="Calibri"/>
      <family val="2"/>
      <scheme val="minor"/>
    </font>
    <font>
      <sz val="9"/>
      <color rgb="FF000099"/>
      <name val="Calibri"/>
      <family val="2"/>
      <scheme val="minor"/>
    </font>
    <font>
      <sz val="12"/>
      <color rgb="FF000099"/>
      <name val="Calibri"/>
      <family val="2"/>
      <scheme val="minor"/>
    </font>
    <font>
      <sz val="9"/>
      <color theme="4" tint="0.39997558519241921"/>
      <name val="Calibri"/>
      <family val="2"/>
      <scheme val="minor"/>
    </font>
    <font>
      <b/>
      <sz val="9"/>
      <color theme="4" tint="0.39997558519241921"/>
      <name val="Calibri"/>
      <family val="2"/>
      <scheme val="minor"/>
    </font>
    <font>
      <sz val="9"/>
      <color theme="2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9"/>
      <color theme="2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7"/>
      <color rgb="FFFF0000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3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0"/>
      <color theme="2"/>
      <name val="Calibri"/>
      <family val="2"/>
      <scheme val="minor"/>
    </font>
    <font>
      <sz val="9"/>
      <color indexed="19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b/>
      <sz val="8"/>
      <name val="Calibri"/>
      <family val="2"/>
      <scheme val="minor"/>
    </font>
    <font>
      <sz val="7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5FEC6"/>
        <bgColor indexed="64"/>
      </patternFill>
    </fill>
    <fill>
      <patternFill patternType="solid">
        <fgColor rgb="FFFFE5FF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FC5"/>
        <bgColor indexed="9"/>
      </patternFill>
    </fill>
    <fill>
      <patternFill patternType="solid">
        <fgColor rgb="FFFDF7DF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F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99FF"/>
      </left>
      <right style="thick">
        <color rgb="FFFF99FF"/>
      </right>
      <top style="thick">
        <color rgb="FFFF99FF"/>
      </top>
      <bottom style="thick">
        <color rgb="FFFF99FF"/>
      </bottom>
      <diagonal/>
    </border>
    <border>
      <left style="thick">
        <color rgb="FFFF99FF"/>
      </left>
      <right/>
      <top style="thick">
        <color rgb="FFFF99FF"/>
      </top>
      <bottom style="thick">
        <color rgb="FFFF99FF"/>
      </bottom>
      <diagonal/>
    </border>
    <border>
      <left/>
      <right/>
      <top style="thick">
        <color rgb="FFFF99FF"/>
      </top>
      <bottom style="thick">
        <color rgb="FFFF99FF"/>
      </bottom>
      <diagonal/>
    </border>
    <border>
      <left/>
      <right style="thick">
        <color rgb="FFFF99FF"/>
      </right>
      <top style="thick">
        <color rgb="FFFF99FF"/>
      </top>
      <bottom style="thick">
        <color rgb="FFFF99FF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CCFF99"/>
      </left>
      <right style="thick">
        <color rgb="FFCCFF99"/>
      </right>
      <top style="thick">
        <color rgb="FFCCFF99"/>
      </top>
      <bottom style="thick">
        <color rgb="FFCCFF99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166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1" applyFont="1"/>
    <xf numFmtId="0" fontId="5" fillId="0" borderId="0" xfId="1" applyFont="1"/>
    <xf numFmtId="0" fontId="7" fillId="0" borderId="0" xfId="2" applyFont="1" applyAlignment="1">
      <alignment horizontal="center" vertical="center"/>
    </xf>
    <xf numFmtId="0" fontId="8" fillId="0" borderId="0" xfId="1" applyFont="1" applyAlignment="1">
      <alignment horizontal="right"/>
    </xf>
    <xf numFmtId="0" fontId="9" fillId="0" borderId="0" xfId="1" applyFont="1"/>
    <xf numFmtId="0" fontId="10" fillId="0" borderId="0" xfId="1" applyFont="1"/>
    <xf numFmtId="164" fontId="10" fillId="0" borderId="0" xfId="1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64" fontId="10" fillId="0" borderId="0" xfId="1" applyNumberFormat="1" applyFont="1"/>
    <xf numFmtId="0" fontId="10" fillId="0" borderId="0" xfId="1" applyFont="1" applyAlignment="1">
      <alignment vertical="center"/>
    </xf>
    <xf numFmtId="0" fontId="12" fillId="0" borderId="0" xfId="1" applyFont="1"/>
    <xf numFmtId="166" fontId="12" fillId="0" borderId="0" xfId="3" applyFont="1"/>
    <xf numFmtId="0" fontId="13" fillId="0" borderId="0" xfId="1" applyFont="1" applyAlignment="1">
      <alignment horizontal="right"/>
    </xf>
    <xf numFmtId="167" fontId="13" fillId="0" borderId="0" xfId="1" applyNumberFormat="1" applyFont="1"/>
    <xf numFmtId="167" fontId="14" fillId="0" borderId="0" xfId="1" applyNumberFormat="1" applyFont="1" applyAlignment="1">
      <alignment horizontal="left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vertical="center"/>
    </xf>
    <xf numFmtId="0" fontId="9" fillId="2" borderId="4" xfId="1" applyFont="1" applyFill="1" applyBorder="1"/>
    <xf numFmtId="0" fontId="9" fillId="2" borderId="5" xfId="1" applyFont="1" applyFill="1" applyBorder="1"/>
    <xf numFmtId="0" fontId="9" fillId="0" borderId="5" xfId="1" applyFont="1" applyBorder="1" applyAlignment="1">
      <alignment horizontal="center"/>
    </xf>
    <xf numFmtId="0" fontId="9" fillId="0" borderId="5" xfId="1" applyFont="1" applyBorder="1"/>
    <xf numFmtId="0" fontId="9" fillId="2" borderId="5" xfId="1" applyFont="1" applyFill="1" applyBorder="1" applyAlignment="1">
      <alignment horizontal="right"/>
    </xf>
    <xf numFmtId="0" fontId="9" fillId="2" borderId="6" xfId="1" applyFont="1" applyFill="1" applyBorder="1"/>
    <xf numFmtId="0" fontId="9" fillId="2" borderId="8" xfId="1" applyFont="1" applyFill="1" applyBorder="1"/>
    <xf numFmtId="2" fontId="16" fillId="0" borderId="8" xfId="1" applyNumberFormat="1" applyFont="1" applyBorder="1" applyAlignment="1">
      <alignment horizontal="center" vertical="center"/>
    </xf>
    <xf numFmtId="168" fontId="17" fillId="0" borderId="8" xfId="1" applyNumberFormat="1" applyFont="1" applyBorder="1" applyAlignment="1">
      <alignment horizontal="center" vertical="center"/>
    </xf>
    <xf numFmtId="164" fontId="18" fillId="2" borderId="8" xfId="1" applyNumberFormat="1" applyFont="1" applyFill="1" applyBorder="1"/>
    <xf numFmtId="0" fontId="18" fillId="2" borderId="9" xfId="1" applyFont="1" applyFill="1" applyBorder="1"/>
    <xf numFmtId="2" fontId="10" fillId="0" borderId="0" xfId="1" applyNumberFormat="1" applyFont="1" applyAlignment="1">
      <alignment horizontal="center" vertical="center"/>
    </xf>
    <xf numFmtId="164" fontId="19" fillId="0" borderId="0" xfId="1" applyNumberFormat="1" applyFont="1"/>
    <xf numFmtId="0" fontId="10" fillId="3" borderId="0" xfId="1" applyFont="1" applyFill="1" applyAlignment="1">
      <alignment vertical="center"/>
    </xf>
    <xf numFmtId="165" fontId="20" fillId="3" borderId="0" xfId="1" applyNumberFormat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169" fontId="5" fillId="0" borderId="0" xfId="1" applyNumberFormat="1" applyFont="1"/>
    <xf numFmtId="165" fontId="22" fillId="2" borderId="0" xfId="1" applyNumberFormat="1" applyFont="1" applyFill="1"/>
    <xf numFmtId="165" fontId="20" fillId="2" borderId="0" xfId="1" applyNumberFormat="1" applyFont="1" applyFill="1"/>
    <xf numFmtId="0" fontId="9" fillId="3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170" fontId="8" fillId="3" borderId="0" xfId="4" applyNumberFormat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0" fillId="4" borderId="0" xfId="1" applyFont="1" applyFill="1" applyAlignment="1">
      <alignment vertical="center"/>
    </xf>
    <xf numFmtId="0" fontId="20" fillId="4" borderId="0" xfId="1" applyFont="1" applyFill="1" applyAlignment="1">
      <alignment vertical="center"/>
    </xf>
    <xf numFmtId="170" fontId="8" fillId="4" borderId="0" xfId="4" applyNumberFormat="1" applyFont="1" applyFill="1" applyAlignment="1">
      <alignment horizontal="left"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21" fillId="5" borderId="12" xfId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2" fontId="10" fillId="0" borderId="10" xfId="1" applyNumberFormat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3" fillId="0" borderId="0" xfId="1" applyFont="1"/>
    <xf numFmtId="0" fontId="14" fillId="0" borderId="0" xfId="1" applyFont="1"/>
    <xf numFmtId="0" fontId="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2" fontId="21" fillId="5" borderId="13" xfId="1" applyNumberFormat="1" applyFont="1" applyFill="1" applyBorder="1" applyAlignment="1">
      <alignment horizontal="right" vertical="center"/>
    </xf>
    <xf numFmtId="0" fontId="24" fillId="5" borderId="14" xfId="1" applyFont="1" applyFill="1" applyBorder="1" applyAlignment="1">
      <alignment vertical="center"/>
    </xf>
    <xf numFmtId="0" fontId="8" fillId="5" borderId="15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2" fontId="30" fillId="0" borderId="0" xfId="1" applyNumberFormat="1" applyFont="1" applyAlignment="1">
      <alignment vertical="center"/>
    </xf>
    <xf numFmtId="166" fontId="26" fillId="0" borderId="0" xfId="3" applyFont="1" applyAlignment="1">
      <alignment vertical="center"/>
    </xf>
    <xf numFmtId="0" fontId="31" fillId="0" borderId="0" xfId="1" applyFont="1" applyAlignment="1">
      <alignment vertical="center"/>
    </xf>
    <xf numFmtId="0" fontId="32" fillId="0" borderId="0" xfId="1" applyFont="1" applyAlignment="1">
      <alignment horizontal="right" vertical="center"/>
    </xf>
    <xf numFmtId="171" fontId="32" fillId="0" borderId="0" xfId="3" applyNumberFormat="1" applyFont="1" applyBorder="1" applyAlignment="1">
      <alignment vertical="center"/>
    </xf>
    <xf numFmtId="0" fontId="33" fillId="0" borderId="0" xfId="1" applyFont="1" applyAlignment="1">
      <alignment vertical="center"/>
    </xf>
    <xf numFmtId="44" fontId="33" fillId="0" borderId="0" xfId="4" applyFont="1" applyAlignment="1">
      <alignment vertical="center"/>
    </xf>
    <xf numFmtId="0" fontId="34" fillId="0" borderId="0" xfId="1" applyFont="1" applyAlignment="1">
      <alignment horizontal="right" vertical="center"/>
    </xf>
    <xf numFmtId="0" fontId="35" fillId="0" borderId="0" xfId="1" applyFont="1" applyAlignment="1">
      <alignment vertical="center"/>
    </xf>
    <xf numFmtId="0" fontId="36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15" fillId="6" borderId="16" xfId="1" applyFont="1" applyFill="1" applyBorder="1" applyAlignment="1">
      <alignment horizontal="center" vertical="center"/>
    </xf>
    <xf numFmtId="44" fontId="40" fillId="0" borderId="0" xfId="4" applyFont="1" applyAlignment="1">
      <alignment vertical="center"/>
    </xf>
    <xf numFmtId="2" fontId="41" fillId="0" borderId="0" xfId="1" applyNumberFormat="1" applyFont="1" applyAlignment="1">
      <alignment vertical="center"/>
    </xf>
    <xf numFmtId="166" fontId="41" fillId="0" borderId="0" xfId="3" applyFont="1" applyAlignment="1">
      <alignment vertical="center"/>
    </xf>
    <xf numFmtId="0" fontId="42" fillId="0" borderId="0" xfId="1" applyFont="1" applyAlignment="1">
      <alignment horizontal="right" vertical="center"/>
    </xf>
    <xf numFmtId="171" fontId="42" fillId="0" borderId="0" xfId="3" applyNumberFormat="1" applyFont="1" applyBorder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2" fontId="44" fillId="0" borderId="0" xfId="1" applyNumberFormat="1" applyFont="1" applyAlignment="1">
      <alignment vertical="center"/>
    </xf>
    <xf numFmtId="2" fontId="45" fillId="0" borderId="0" xfId="1" applyNumberFormat="1" applyFont="1" applyAlignment="1">
      <alignment vertical="center"/>
    </xf>
    <xf numFmtId="166" fontId="45" fillId="0" borderId="0" xfId="3" applyFont="1" applyFill="1" applyAlignment="1">
      <alignment vertical="center"/>
    </xf>
    <xf numFmtId="0" fontId="46" fillId="0" borderId="0" xfId="1" applyFont="1" applyAlignment="1">
      <alignment horizontal="right" vertical="center"/>
    </xf>
    <xf numFmtId="171" fontId="46" fillId="0" borderId="0" xfId="3" applyNumberFormat="1" applyFont="1" applyFill="1" applyBorder="1" applyAlignment="1">
      <alignment vertical="center"/>
    </xf>
    <xf numFmtId="0" fontId="47" fillId="0" borderId="0" xfId="1" applyFont="1" applyAlignment="1">
      <alignment vertical="center"/>
    </xf>
    <xf numFmtId="0" fontId="15" fillId="7" borderId="16" xfId="1" applyFont="1" applyFill="1" applyBorder="1" applyAlignment="1">
      <alignment horizontal="center" vertical="center"/>
    </xf>
    <xf numFmtId="2" fontId="26" fillId="0" borderId="0" xfId="1" applyNumberFormat="1" applyFont="1" applyAlignment="1">
      <alignment vertical="center"/>
    </xf>
    <xf numFmtId="166" fontId="49" fillId="0" borderId="0" xfId="3" applyFont="1" applyFill="1" applyAlignment="1">
      <alignment vertical="center"/>
    </xf>
    <xf numFmtId="171" fontId="42" fillId="0" borderId="0" xfId="3" applyNumberFormat="1" applyFont="1" applyFill="1" applyBorder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171" fontId="9" fillId="8" borderId="0" xfId="3" quotePrefix="1" applyNumberFormat="1" applyFont="1" applyFill="1" applyAlignment="1">
      <alignment horizontal="center" vertical="center"/>
    </xf>
    <xf numFmtId="2" fontId="50" fillId="8" borderId="0" xfId="1" applyNumberFormat="1" applyFont="1" applyFill="1" applyAlignment="1">
      <alignment vertical="center"/>
    </xf>
    <xf numFmtId="166" fontId="10" fillId="8" borderId="0" xfId="3" applyFont="1" applyFill="1" applyAlignment="1">
      <alignment vertical="center"/>
    </xf>
    <xf numFmtId="0" fontId="4" fillId="8" borderId="1" xfId="1" applyFont="1" applyFill="1" applyBorder="1" applyAlignment="1">
      <alignment vertical="center"/>
    </xf>
    <xf numFmtId="0" fontId="12" fillId="8" borderId="2" xfId="1" applyFont="1" applyFill="1" applyBorder="1" applyAlignment="1">
      <alignment horizontal="right" vertical="center"/>
    </xf>
    <xf numFmtId="171" fontId="12" fillId="8" borderId="3" xfId="3" applyNumberFormat="1" applyFont="1" applyFill="1" applyBorder="1" applyAlignment="1">
      <alignment vertical="center"/>
    </xf>
    <xf numFmtId="2" fontId="4" fillId="8" borderId="0" xfId="1" applyNumberFormat="1" applyFont="1" applyFill="1" applyAlignment="1">
      <alignment horizontal="right" vertical="center"/>
    </xf>
    <xf numFmtId="0" fontId="13" fillId="0" borderId="0" xfId="1" applyFont="1" applyAlignment="1">
      <alignment horizontal="center" vertical="center"/>
    </xf>
    <xf numFmtId="171" fontId="9" fillId="0" borderId="0" xfId="3" applyNumberFormat="1" applyFont="1" applyFill="1" applyAlignment="1">
      <alignment vertical="center"/>
    </xf>
    <xf numFmtId="2" fontId="10" fillId="0" borderId="0" xfId="1" applyNumberFormat="1" applyFont="1" applyAlignment="1">
      <alignment vertical="center"/>
    </xf>
    <xf numFmtId="166" fontId="10" fillId="0" borderId="0" xfId="3" applyFont="1" applyFill="1" applyAlignment="1">
      <alignment vertical="center"/>
    </xf>
    <xf numFmtId="0" fontId="12" fillId="0" borderId="0" xfId="1" applyFont="1" applyAlignment="1">
      <alignment horizontal="right" vertical="center"/>
    </xf>
    <xf numFmtId="171" fontId="12" fillId="0" borderId="0" xfId="3" applyNumberFormat="1" applyFont="1" applyFill="1" applyBorder="1" applyAlignment="1">
      <alignment vertical="center"/>
    </xf>
    <xf numFmtId="2" fontId="4" fillId="0" borderId="0" xfId="1" applyNumberFormat="1" applyFont="1" applyAlignment="1">
      <alignment horizontal="right" vertical="center"/>
    </xf>
    <xf numFmtId="172" fontId="20" fillId="0" borderId="0" xfId="6" applyNumberFormat="1" applyFont="1" applyBorder="1" applyAlignment="1">
      <alignment horizontal="right" vertical="center"/>
    </xf>
    <xf numFmtId="2" fontId="36" fillId="0" borderId="0" xfId="1" applyNumberFormat="1" applyFont="1" applyAlignment="1">
      <alignment vertical="center"/>
    </xf>
    <xf numFmtId="0" fontId="51" fillId="0" borderId="0" xfId="1" applyFont="1" applyAlignment="1">
      <alignment horizontal="right" vertical="center"/>
    </xf>
    <xf numFmtId="44" fontId="52" fillId="0" borderId="0" xfId="7" applyFont="1" applyAlignment="1">
      <alignment vertical="center"/>
    </xf>
    <xf numFmtId="170" fontId="2" fillId="0" borderId="16" xfId="7" applyNumberFormat="1" applyFont="1" applyFill="1" applyBorder="1" applyAlignment="1">
      <alignment horizontal="center" vertical="center"/>
    </xf>
    <xf numFmtId="44" fontId="25" fillId="0" borderId="0" xfId="7" applyFont="1" applyFill="1" applyBorder="1" applyAlignment="1">
      <alignment horizontal="right" vertical="center"/>
    </xf>
    <xf numFmtId="44" fontId="4" fillId="0" borderId="0" xfId="1" applyNumberFormat="1" applyFont="1" applyAlignment="1">
      <alignment vertical="center"/>
    </xf>
    <xf numFmtId="10" fontId="20" fillId="0" borderId="0" xfId="6" applyNumberFormat="1" applyFont="1" applyBorder="1" applyAlignment="1">
      <alignment horizontal="right" vertical="center"/>
    </xf>
    <xf numFmtId="0" fontId="51" fillId="0" borderId="0" xfId="1" applyFont="1" applyAlignment="1">
      <alignment horizontal="center" vertical="center"/>
    </xf>
    <xf numFmtId="166" fontId="42" fillId="0" borderId="0" xfId="3" applyFont="1" applyAlignment="1">
      <alignment vertical="center"/>
    </xf>
    <xf numFmtId="44" fontId="5" fillId="0" borderId="0" xfId="1" applyNumberFormat="1" applyFont="1"/>
    <xf numFmtId="0" fontId="53" fillId="0" borderId="0" xfId="1" applyFont="1" applyAlignment="1">
      <alignment vertical="center"/>
    </xf>
    <xf numFmtId="2" fontId="53" fillId="0" borderId="0" xfId="1" applyNumberFormat="1" applyFont="1" applyAlignment="1">
      <alignment vertical="center"/>
    </xf>
    <xf numFmtId="166" fontId="53" fillId="0" borderId="0" xfId="3" applyFont="1" applyAlignment="1">
      <alignment vertical="center"/>
    </xf>
    <xf numFmtId="173" fontId="34" fillId="0" borderId="0" xfId="3" applyNumberFormat="1" applyFont="1" applyAlignment="1">
      <alignment vertical="center"/>
    </xf>
    <xf numFmtId="166" fontId="34" fillId="0" borderId="0" xfId="3" applyFont="1" applyAlignment="1">
      <alignment vertical="center"/>
    </xf>
    <xf numFmtId="0" fontId="23" fillId="8" borderId="0" xfId="1" applyFont="1" applyFill="1" applyAlignment="1">
      <alignment vertical="center"/>
    </xf>
    <xf numFmtId="0" fontId="4" fillId="8" borderId="0" xfId="1" applyFont="1" applyFill="1" applyAlignment="1">
      <alignment vertical="center"/>
    </xf>
    <xf numFmtId="10" fontId="36" fillId="8" borderId="0" xfId="1" applyNumberFormat="1" applyFont="1" applyFill="1" applyAlignment="1">
      <alignment vertical="center"/>
    </xf>
    <xf numFmtId="0" fontId="4" fillId="8" borderId="0" xfId="1" applyFont="1" applyFill="1"/>
    <xf numFmtId="2" fontId="10" fillId="8" borderId="0" xfId="1" applyNumberFormat="1" applyFont="1" applyFill="1" applyAlignment="1">
      <alignment vertical="center"/>
    </xf>
    <xf numFmtId="0" fontId="10" fillId="9" borderId="0" xfId="1" applyFont="1" applyFill="1" applyAlignment="1">
      <alignment vertical="center"/>
    </xf>
    <xf numFmtId="0" fontId="4" fillId="9" borderId="0" xfId="1" applyFont="1" applyFill="1" applyAlignment="1">
      <alignment vertical="center"/>
    </xf>
    <xf numFmtId="0" fontId="20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44" fontId="5" fillId="0" borderId="0" xfId="1" applyNumberFormat="1" applyFont="1" applyAlignment="1">
      <alignment vertical="center"/>
    </xf>
    <xf numFmtId="0" fontId="41" fillId="0" borderId="0" xfId="1" applyFont="1" applyAlignment="1">
      <alignment vertical="center"/>
    </xf>
    <xf numFmtId="0" fontId="55" fillId="0" borderId="0" xfId="1" applyFont="1" applyAlignment="1">
      <alignment vertical="center"/>
    </xf>
    <xf numFmtId="44" fontId="55" fillId="0" borderId="0" xfId="4" applyFont="1" applyAlignment="1">
      <alignment vertical="center"/>
    </xf>
    <xf numFmtId="2" fontId="56" fillId="0" borderId="0" xfId="1" applyNumberFormat="1" applyFont="1" applyAlignment="1">
      <alignment vertical="center"/>
    </xf>
    <xf numFmtId="166" fontId="56" fillId="0" borderId="0" xfId="3" applyFont="1" applyAlignment="1">
      <alignment vertical="center"/>
    </xf>
    <xf numFmtId="0" fontId="57" fillId="11" borderId="0" xfId="1" applyFont="1" applyFill="1" applyAlignment="1">
      <alignment vertical="center"/>
    </xf>
    <xf numFmtId="0" fontId="57" fillId="11" borderId="0" xfId="1" applyFont="1" applyFill="1" applyAlignment="1">
      <alignment horizontal="right" vertical="center"/>
    </xf>
    <xf numFmtId="173" fontId="58" fillId="11" borderId="0" xfId="3" applyNumberFormat="1" applyFont="1" applyFill="1" applyAlignment="1">
      <alignment vertical="center"/>
    </xf>
    <xf numFmtId="166" fontId="57" fillId="11" borderId="0" xfId="3" applyFont="1" applyFill="1" applyAlignment="1">
      <alignment vertical="center"/>
    </xf>
    <xf numFmtId="0" fontId="59" fillId="0" borderId="0" xfId="1" applyFont="1" applyAlignment="1">
      <alignment vertical="center"/>
    </xf>
    <xf numFmtId="44" fontId="59" fillId="0" borderId="0" xfId="4" applyFont="1" applyAlignment="1">
      <alignment vertical="center"/>
    </xf>
    <xf numFmtId="173" fontId="42" fillId="0" borderId="0" xfId="3" applyNumberFormat="1" applyFont="1" applyAlignment="1">
      <alignment vertical="center"/>
    </xf>
    <xf numFmtId="2" fontId="12" fillId="0" borderId="0" xfId="1" applyNumberFormat="1" applyFont="1"/>
    <xf numFmtId="168" fontId="13" fillId="0" borderId="0" xfId="1" applyNumberFormat="1" applyFont="1"/>
    <xf numFmtId="10" fontId="10" fillId="0" borderId="0" xfId="6" applyNumberFormat="1" applyFont="1" applyAlignment="1">
      <alignment vertical="center"/>
    </xf>
    <xf numFmtId="0" fontId="25" fillId="10" borderId="1" xfId="1" applyFont="1" applyFill="1" applyBorder="1" applyAlignment="1">
      <alignment vertical="center"/>
    </xf>
    <xf numFmtId="0" fontId="20" fillId="10" borderId="2" xfId="1" applyFont="1" applyFill="1" applyBorder="1" applyAlignment="1">
      <alignment horizontal="right" vertical="center"/>
    </xf>
    <xf numFmtId="0" fontId="10" fillId="10" borderId="3" xfId="1" applyFont="1" applyFill="1" applyBorder="1" applyAlignment="1">
      <alignment vertical="center"/>
    </xf>
    <xf numFmtId="0" fontId="36" fillId="0" borderId="0" xfId="1" applyFont="1" applyAlignment="1">
      <alignment horizontal="left"/>
    </xf>
    <xf numFmtId="174" fontId="13" fillId="0" borderId="0" xfId="1" applyNumberFormat="1" applyFont="1"/>
    <xf numFmtId="44" fontId="10" fillId="0" borderId="20" xfId="7" applyFont="1" applyBorder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44" fontId="20" fillId="0" borderId="0" xfId="7" applyFont="1" applyAlignment="1">
      <alignment horizontal="left" vertical="center"/>
    </xf>
    <xf numFmtId="0" fontId="4" fillId="0" borderId="0" xfId="1" applyFont="1" applyAlignment="1">
      <alignment vertical="top"/>
    </xf>
    <xf numFmtId="0" fontId="10" fillId="0" borderId="0" xfId="1" applyFont="1" applyAlignment="1">
      <alignment horizontal="right"/>
    </xf>
    <xf numFmtId="176" fontId="10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quotePrefix="1" applyFont="1" applyAlignment="1">
      <alignment vertical="center"/>
    </xf>
    <xf numFmtId="175" fontId="8" fillId="0" borderId="0" xfId="7" applyNumberFormat="1" applyFont="1" applyFill="1" applyBorder="1" applyAlignment="1">
      <alignment horizontal="center" vertical="center"/>
    </xf>
    <xf numFmtId="167" fontId="14" fillId="0" borderId="0" xfId="1" applyNumberFormat="1" applyFont="1" applyAlignment="1">
      <alignment horizontal="left" vertical="center"/>
    </xf>
    <xf numFmtId="44" fontId="13" fillId="0" borderId="0" xfId="1" applyNumberFormat="1" applyFont="1"/>
    <xf numFmtId="0" fontId="61" fillId="0" borderId="0" xfId="1" applyFont="1" applyAlignment="1">
      <alignment vertical="center"/>
    </xf>
    <xf numFmtId="0" fontId="62" fillId="0" borderId="0" xfId="1" applyFont="1" applyAlignment="1">
      <alignment vertical="center" wrapText="1"/>
    </xf>
    <xf numFmtId="0" fontId="6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2" fontId="5" fillId="0" borderId="0" xfId="1" applyNumberFormat="1" applyFont="1" applyAlignment="1">
      <alignment horizontal="right"/>
    </xf>
    <xf numFmtId="0" fontId="21" fillId="12" borderId="24" xfId="1" applyFont="1" applyFill="1" applyBorder="1" applyAlignment="1">
      <alignment horizontal="center" vertical="center"/>
    </xf>
    <xf numFmtId="0" fontId="21" fillId="12" borderId="24" xfId="1" applyFont="1" applyFill="1" applyBorder="1" applyAlignment="1">
      <alignment horizontal="right" vertical="center"/>
    </xf>
    <xf numFmtId="0" fontId="21" fillId="12" borderId="24" xfId="1" applyFont="1" applyFill="1" applyBorder="1" applyAlignment="1">
      <alignment horizontal="left" vertical="center"/>
    </xf>
    <xf numFmtId="0" fontId="18" fillId="7" borderId="16" xfId="1" applyFont="1" applyFill="1" applyBorder="1" applyAlignment="1">
      <alignment horizontal="center" vertical="center"/>
    </xf>
    <xf numFmtId="0" fontId="10" fillId="13" borderId="0" xfId="1" applyFont="1" applyFill="1" applyAlignment="1">
      <alignment vertical="center"/>
    </xf>
    <xf numFmtId="0" fontId="9" fillId="13" borderId="0" xfId="1" applyFont="1" applyFill="1" applyAlignment="1">
      <alignment vertical="center"/>
    </xf>
    <xf numFmtId="171" fontId="9" fillId="13" borderId="0" xfId="3" quotePrefix="1" applyNumberFormat="1" applyFont="1" applyFill="1" applyAlignment="1">
      <alignment horizontal="center" vertical="center"/>
    </xf>
    <xf numFmtId="2" fontId="50" fillId="13" borderId="0" xfId="1" applyNumberFormat="1" applyFont="1" applyFill="1" applyAlignment="1">
      <alignment vertical="center"/>
    </xf>
    <xf numFmtId="166" fontId="10" fillId="13" borderId="0" xfId="3" applyFont="1" applyFill="1" applyAlignment="1">
      <alignment vertical="center"/>
    </xf>
    <xf numFmtId="0" fontId="4" fillId="13" borderId="1" xfId="1" applyFont="1" applyFill="1" applyBorder="1" applyAlignment="1">
      <alignment vertical="center"/>
    </xf>
    <xf numFmtId="0" fontId="12" fillId="13" borderId="2" xfId="1" applyFont="1" applyFill="1" applyBorder="1" applyAlignment="1">
      <alignment horizontal="right" vertical="center"/>
    </xf>
    <xf numFmtId="171" fontId="12" fillId="13" borderId="3" xfId="3" applyNumberFormat="1" applyFont="1" applyFill="1" applyBorder="1" applyAlignment="1">
      <alignment vertical="center"/>
    </xf>
    <xf numFmtId="2" fontId="4" fillId="13" borderId="0" xfId="1" applyNumberFormat="1" applyFont="1" applyFill="1" applyAlignment="1">
      <alignment horizontal="right" vertical="center"/>
    </xf>
    <xf numFmtId="44" fontId="52" fillId="0" borderId="0" xfId="9" applyFont="1" applyAlignment="1">
      <alignment vertical="center"/>
    </xf>
    <xf numFmtId="170" fontId="2" fillId="0" borderId="16" xfId="9" applyNumberFormat="1" applyFont="1" applyFill="1" applyBorder="1" applyAlignment="1">
      <alignment horizontal="center" vertical="center"/>
    </xf>
    <xf numFmtId="44" fontId="25" fillId="0" borderId="0" xfId="9" applyFont="1" applyFill="1" applyBorder="1" applyAlignment="1">
      <alignment horizontal="right" vertical="center"/>
    </xf>
    <xf numFmtId="0" fontId="23" fillId="13" borderId="0" xfId="1" applyFont="1" applyFill="1" applyAlignment="1">
      <alignment vertical="center"/>
    </xf>
    <xf numFmtId="0" fontId="4" fillId="13" borderId="0" xfId="1" applyFont="1" applyFill="1" applyAlignment="1">
      <alignment vertical="center"/>
    </xf>
    <xf numFmtId="10" fontId="36" fillId="13" borderId="0" xfId="1" applyNumberFormat="1" applyFont="1" applyFill="1" applyAlignment="1">
      <alignment vertical="center"/>
    </xf>
    <xf numFmtId="0" fontId="4" fillId="13" borderId="0" xfId="1" applyFont="1" applyFill="1"/>
    <xf numFmtId="2" fontId="10" fillId="13" borderId="0" xfId="1" applyNumberFormat="1" applyFont="1" applyFill="1" applyAlignment="1">
      <alignment vertical="center"/>
    </xf>
    <xf numFmtId="0" fontId="10" fillId="14" borderId="0" xfId="1" applyFont="1" applyFill="1" applyAlignment="1">
      <alignment vertical="center"/>
    </xf>
    <xf numFmtId="0" fontId="4" fillId="14" borderId="0" xfId="1" applyFont="1" applyFill="1" applyAlignment="1">
      <alignment vertical="center"/>
    </xf>
    <xf numFmtId="0" fontId="57" fillId="15" borderId="0" xfId="1" applyFont="1" applyFill="1" applyAlignment="1">
      <alignment vertical="center"/>
    </xf>
    <xf numFmtId="0" fontId="57" fillId="15" borderId="0" xfId="1" applyFont="1" applyFill="1" applyAlignment="1">
      <alignment horizontal="right" vertical="center"/>
    </xf>
    <xf numFmtId="173" fontId="58" fillId="15" borderId="0" xfId="3" applyNumberFormat="1" applyFont="1" applyFill="1" applyAlignment="1">
      <alignment vertical="center"/>
    </xf>
    <xf numFmtId="166" fontId="57" fillId="15" borderId="0" xfId="3" applyFont="1" applyFill="1" applyAlignment="1">
      <alignment vertical="center"/>
    </xf>
    <xf numFmtId="0" fontId="25" fillId="14" borderId="1" xfId="1" applyFont="1" applyFill="1" applyBorder="1" applyAlignment="1">
      <alignment vertical="center"/>
    </xf>
    <xf numFmtId="0" fontId="20" fillId="14" borderId="2" xfId="1" applyFont="1" applyFill="1" applyBorder="1" applyAlignment="1">
      <alignment horizontal="right" vertical="center"/>
    </xf>
    <xf numFmtId="0" fontId="10" fillId="14" borderId="3" xfId="1" applyFont="1" applyFill="1" applyBorder="1" applyAlignment="1">
      <alignment vertical="center"/>
    </xf>
    <xf numFmtId="44" fontId="10" fillId="0" borderId="20" xfId="9" applyFont="1" applyBorder="1" applyAlignment="1">
      <alignment horizontal="center" vertical="center"/>
    </xf>
    <xf numFmtId="44" fontId="20" fillId="0" borderId="0" xfId="9" applyFont="1" applyAlignment="1">
      <alignment horizontal="left" vertical="center"/>
    </xf>
    <xf numFmtId="175" fontId="8" fillId="0" borderId="0" xfId="9" applyNumberFormat="1" applyFont="1" applyFill="1" applyBorder="1" applyAlignment="1">
      <alignment horizontal="center" vertical="center"/>
    </xf>
    <xf numFmtId="0" fontId="34" fillId="16" borderId="0" xfId="1" applyFont="1" applyFill="1" applyAlignment="1">
      <alignment vertical="center"/>
    </xf>
    <xf numFmtId="2" fontId="30" fillId="16" borderId="0" xfId="1" applyNumberFormat="1" applyFont="1" applyFill="1" applyAlignment="1">
      <alignment vertical="center"/>
    </xf>
    <xf numFmtId="0" fontId="65" fillId="16" borderId="0" xfId="1" applyFont="1" applyFill="1" applyAlignment="1">
      <alignment vertical="center"/>
    </xf>
    <xf numFmtId="0" fontId="63" fillId="0" borderId="0" xfId="1" applyFont="1" applyAlignment="1">
      <alignment vertical="center"/>
    </xf>
    <xf numFmtId="0" fontId="10" fillId="2" borderId="0" xfId="1" applyFont="1" applyFill="1" applyAlignment="1">
      <alignment vertical="center"/>
    </xf>
    <xf numFmtId="44" fontId="8" fillId="2" borderId="0" xfId="4" applyFont="1" applyFill="1" applyAlignment="1">
      <alignment horizontal="left" vertical="center"/>
    </xf>
    <xf numFmtId="14" fontId="18" fillId="2" borderId="7" xfId="1" applyNumberFormat="1" applyFont="1" applyFill="1" applyBorder="1"/>
    <xf numFmtId="44" fontId="8" fillId="2" borderId="0" xfId="5" applyFont="1" applyFill="1" applyBorder="1" applyAlignment="1">
      <alignment horizontal="left" vertical="center"/>
    </xf>
    <xf numFmtId="44" fontId="66" fillId="16" borderId="0" xfId="4" applyFont="1" applyFill="1" applyBorder="1" applyAlignment="1">
      <alignment horizontal="left" vertical="center"/>
    </xf>
    <xf numFmtId="0" fontId="33" fillId="16" borderId="0" xfId="1" applyFont="1" applyFill="1" applyAlignment="1">
      <alignment vertical="center"/>
    </xf>
    <xf numFmtId="44" fontId="33" fillId="16" borderId="0" xfId="4" applyFont="1" applyFill="1" applyAlignment="1">
      <alignment vertical="center"/>
    </xf>
    <xf numFmtId="166" fontId="26" fillId="16" borderId="0" xfId="3" applyFont="1" applyFill="1" applyAlignment="1">
      <alignment vertical="center"/>
    </xf>
    <xf numFmtId="0" fontId="34" fillId="16" borderId="0" xfId="1" applyFont="1" applyFill="1" applyAlignment="1">
      <alignment horizontal="right" vertical="center"/>
    </xf>
    <xf numFmtId="171" fontId="32" fillId="16" borderId="0" xfId="3" applyNumberFormat="1" applyFont="1" applyFill="1" applyBorder="1" applyAlignment="1">
      <alignment vertical="center"/>
    </xf>
    <xf numFmtId="2" fontId="21" fillId="3" borderId="10" xfId="1" applyNumberFormat="1" applyFont="1" applyFill="1" applyBorder="1" applyAlignment="1">
      <alignment horizontal="center" vertical="center"/>
    </xf>
    <xf numFmtId="2" fontId="21" fillId="3" borderId="1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67" fontId="13" fillId="0" borderId="0" xfId="1" applyNumberFormat="1" applyFont="1" applyAlignment="1">
      <alignment horizontal="center" wrapText="1"/>
    </xf>
    <xf numFmtId="167" fontId="13" fillId="0" borderId="8" xfId="1" applyNumberFormat="1" applyFont="1" applyBorder="1" applyAlignment="1">
      <alignment horizontal="center" wrapText="1"/>
    </xf>
    <xf numFmtId="0" fontId="21" fillId="3" borderId="10" xfId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175" fontId="24" fillId="0" borderId="1" xfId="7" applyNumberFormat="1" applyFont="1" applyFill="1" applyBorder="1" applyAlignment="1">
      <alignment horizontal="center" vertical="center"/>
    </xf>
    <xf numFmtId="175" fontId="24" fillId="0" borderId="3" xfId="7" applyNumberFormat="1" applyFont="1" applyFill="1" applyBorder="1" applyAlignment="1">
      <alignment horizontal="center" vertical="center"/>
    </xf>
    <xf numFmtId="44" fontId="8" fillId="10" borderId="17" xfId="4" applyFont="1" applyFill="1" applyBorder="1" applyAlignment="1">
      <alignment horizontal="left" vertical="center"/>
    </xf>
    <xf numFmtId="44" fontId="8" fillId="10" borderId="18" xfId="4" applyFont="1" applyFill="1" applyBorder="1" applyAlignment="1">
      <alignment horizontal="left" vertical="center"/>
    </xf>
    <xf numFmtId="0" fontId="60" fillId="0" borderId="4" xfId="1" applyFont="1" applyBorder="1" applyAlignment="1">
      <alignment horizontal="center"/>
    </xf>
    <xf numFmtId="0" fontId="60" fillId="0" borderId="6" xfId="1" applyFont="1" applyBorder="1" applyAlignment="1">
      <alignment horizontal="center"/>
    </xf>
    <xf numFmtId="44" fontId="8" fillId="10" borderId="2" xfId="4" applyFont="1" applyFill="1" applyBorder="1" applyAlignment="1">
      <alignment horizontal="center" vertical="center"/>
    </xf>
    <xf numFmtId="166" fontId="10" fillId="0" borderId="7" xfId="3" applyFont="1" applyBorder="1" applyAlignment="1">
      <alignment horizontal="center" vertical="center"/>
    </xf>
    <xf numFmtId="166" fontId="36" fillId="0" borderId="9" xfId="8" applyNumberFormat="1" applyFont="1" applyBorder="1"/>
    <xf numFmtId="0" fontId="36" fillId="0" borderId="0" xfId="1" applyFont="1" applyAlignment="1">
      <alignment horizontal="center" vertical="center"/>
    </xf>
    <xf numFmtId="0" fontId="36" fillId="0" borderId="21" xfId="1" applyFont="1" applyBorder="1" applyAlignment="1">
      <alignment horizontal="center" vertical="center"/>
    </xf>
    <xf numFmtId="44" fontId="24" fillId="0" borderId="22" xfId="7" applyFont="1" applyBorder="1" applyAlignment="1">
      <alignment horizontal="center" vertical="center"/>
    </xf>
    <xf numFmtId="44" fontId="24" fillId="0" borderId="23" xfId="7" applyFont="1" applyBorder="1" applyAlignment="1">
      <alignment horizontal="center" vertical="center"/>
    </xf>
    <xf numFmtId="175" fontId="24" fillId="0" borderId="1" xfId="9" applyNumberFormat="1" applyFont="1" applyFill="1" applyBorder="1" applyAlignment="1">
      <alignment horizontal="center" vertical="center"/>
    </xf>
    <xf numFmtId="175" fontId="24" fillId="0" borderId="3" xfId="9" applyNumberFormat="1" applyFont="1" applyFill="1" applyBorder="1" applyAlignment="1">
      <alignment horizontal="center" vertical="center"/>
    </xf>
    <xf numFmtId="44" fontId="8" fillId="14" borderId="17" xfId="4" applyFont="1" applyFill="1" applyBorder="1" applyAlignment="1">
      <alignment horizontal="left" vertical="center"/>
    </xf>
    <xf numFmtId="44" fontId="8" fillId="14" borderId="18" xfId="4" applyFont="1" applyFill="1" applyBorder="1" applyAlignment="1">
      <alignment horizontal="left" vertical="center"/>
    </xf>
    <xf numFmtId="44" fontId="8" fillId="14" borderId="2" xfId="4" applyFont="1" applyFill="1" applyBorder="1" applyAlignment="1">
      <alignment horizontal="center" vertical="center"/>
    </xf>
    <xf numFmtId="166" fontId="36" fillId="0" borderId="9" xfId="2" applyNumberFormat="1" applyFont="1" applyBorder="1"/>
    <xf numFmtId="44" fontId="24" fillId="0" borderId="22" xfId="9" applyFont="1" applyBorder="1" applyAlignment="1">
      <alignment horizontal="center" vertical="center"/>
    </xf>
    <xf numFmtId="44" fontId="24" fillId="0" borderId="23" xfId="9" applyFont="1" applyBorder="1" applyAlignment="1">
      <alignment horizontal="center" vertical="center"/>
    </xf>
    <xf numFmtId="2" fontId="21" fillId="7" borderId="10" xfId="1" applyNumberFormat="1" applyFont="1" applyFill="1" applyBorder="1" applyAlignment="1">
      <alignment horizontal="center" vertical="center"/>
    </xf>
    <xf numFmtId="2" fontId="21" fillId="7" borderId="11" xfId="1" applyNumberFormat="1" applyFont="1" applyFill="1" applyBorder="1" applyAlignment="1">
      <alignment horizontal="center" vertical="center"/>
    </xf>
    <xf numFmtId="0" fontId="64" fillId="0" borderId="1" xfId="1" applyFont="1" applyBorder="1" applyAlignment="1">
      <alignment horizontal="center" vertical="center"/>
    </xf>
    <xf numFmtId="0" fontId="64" fillId="0" borderId="2" xfId="1" applyFont="1" applyBorder="1" applyAlignment="1">
      <alignment horizontal="center" vertical="center"/>
    </xf>
    <xf numFmtId="0" fontId="64" fillId="0" borderId="3" xfId="1" applyFont="1" applyBorder="1" applyAlignment="1">
      <alignment horizontal="center" vertical="center"/>
    </xf>
    <xf numFmtId="0" fontId="21" fillId="7" borderId="10" xfId="1" applyFont="1" applyFill="1" applyBorder="1" applyAlignment="1">
      <alignment horizontal="center" vertical="center"/>
    </xf>
    <xf numFmtId="0" fontId="21" fillId="7" borderId="11" xfId="1" applyFont="1" applyFill="1" applyBorder="1" applyAlignment="1">
      <alignment horizontal="center" vertical="center"/>
    </xf>
  </cellXfs>
  <cellStyles count="10">
    <cellStyle name="Euro_101217_Estim_Budg_Reclas092010" xfId="3" xr:uid="{60E7139D-E222-4A08-B066-61CF4A7CA0A9}"/>
    <cellStyle name="Monétaire 2" xfId="7" xr:uid="{67BE6C90-3F47-4693-AA98-D683934EE562}"/>
    <cellStyle name="Monétaire 2 2" xfId="4" xr:uid="{E2E8BD99-1408-499F-8A04-15BE502E005D}"/>
    <cellStyle name="Monétaire 4" xfId="5" xr:uid="{2C782E16-A0D6-4B86-8524-B1573B93941B}"/>
    <cellStyle name="Monétaire 5 2" xfId="9" xr:uid="{BEBFECF3-841E-4130-A21A-732D8DB7FD49}"/>
    <cellStyle name="Normal" xfId="0" builtinId="0"/>
    <cellStyle name="Normal 3" xfId="2" xr:uid="{28868296-0E60-4A3E-817B-17C2A0ADD698}"/>
    <cellStyle name="Normal 3 2" xfId="8" xr:uid="{77ED2DE0-6D50-417E-9E75-82A8F44E5998}"/>
    <cellStyle name="Normal_101217_Estim_Budg_Reclas092010" xfId="1" xr:uid="{D0C6E2F8-E79C-4E3B-9B06-FBD694376FDC}"/>
    <cellStyle name="Pourcentage 3 2" xfId="6" xr:uid="{8D974CDF-4E03-4CF7-ADF0-6285CB196F3F}"/>
  </cellStyles>
  <dxfs count="0"/>
  <tableStyles count="0" defaultTableStyle="TableStyleMedium2" defaultPivotStyle="PivotStyleLight16"/>
  <colors>
    <mruColors>
      <color rgb="FFFFFCF3"/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0</xdr:col>
      <xdr:colOff>219076</xdr:colOff>
      <xdr:row>4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3D333F9-5ECB-4356-A49D-097A08122D64}"/>
            </a:ext>
          </a:extLst>
        </xdr:cNvPr>
        <xdr:cNvSpPr txBox="1"/>
      </xdr:nvSpPr>
      <xdr:spPr>
        <a:xfrm>
          <a:off x="9526" y="0"/>
          <a:ext cx="20955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7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10/10/2022_yg</a:t>
          </a:r>
        </a:p>
        <a:p>
          <a:pPr algn="ctr"/>
          <a:endParaRPr lang="fr-FR" sz="700">
            <a:solidFill>
              <a:srgbClr val="0070C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647701</xdr:colOff>
      <xdr:row>13</xdr:row>
      <xdr:rowOff>171450</xdr:rowOff>
    </xdr:from>
    <xdr:to>
      <xdr:col>5</xdr:col>
      <xdr:colOff>523875</xdr:colOff>
      <xdr:row>17</xdr:row>
      <xdr:rowOff>9525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ECF19CC9-3C45-42CA-AB92-B9E4D734FA3C}"/>
            </a:ext>
          </a:extLst>
        </xdr:cNvPr>
        <xdr:cNvCxnSpPr/>
      </xdr:nvCxnSpPr>
      <xdr:spPr>
        <a:xfrm flipH="1">
          <a:off x="4610101" y="2466975"/>
          <a:ext cx="533399" cy="657225"/>
        </a:xfrm>
        <a:prstGeom prst="straightConnector1">
          <a:avLst/>
        </a:prstGeom>
        <a:ln w="28575">
          <a:solidFill>
            <a:srgbClr val="FF99FF"/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15</xdr:row>
      <xdr:rowOff>95250</xdr:rowOff>
    </xdr:from>
    <xdr:to>
      <xdr:col>6</xdr:col>
      <xdr:colOff>219075</xdr:colOff>
      <xdr:row>19</xdr:row>
      <xdr:rowOff>9525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A257390-20E4-488F-B162-7BBDE8E99720}"/>
            </a:ext>
          </a:extLst>
        </xdr:cNvPr>
        <xdr:cNvCxnSpPr/>
      </xdr:nvCxnSpPr>
      <xdr:spPr>
        <a:xfrm>
          <a:off x="5514975" y="2905125"/>
          <a:ext cx="0" cy="657225"/>
        </a:xfrm>
        <a:prstGeom prst="straightConnector1">
          <a:avLst/>
        </a:prstGeom>
        <a:ln w="28575">
          <a:solidFill>
            <a:srgbClr val="FF99FF"/>
          </a:solidFill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12</xdr:row>
      <xdr:rowOff>66675</xdr:rowOff>
    </xdr:from>
    <xdr:to>
      <xdr:col>8</xdr:col>
      <xdr:colOff>504825</xdr:colOff>
      <xdr:row>15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FCD9F46-29A8-4910-B87C-ECC32A161F06}"/>
            </a:ext>
          </a:extLst>
        </xdr:cNvPr>
        <xdr:cNvSpPr txBox="1">
          <a:spLocks noChangeArrowheads="1"/>
        </xdr:cNvSpPr>
      </xdr:nvSpPr>
      <xdr:spPr bwMode="auto">
        <a:xfrm>
          <a:off x="5143500" y="2114550"/>
          <a:ext cx="2057400" cy="771525"/>
        </a:xfrm>
        <a:prstGeom prst="rect">
          <a:avLst/>
        </a:prstGeom>
        <a:solidFill>
          <a:srgbClr val="FFE5FF"/>
        </a:solidFill>
        <a:ln>
          <a:solidFill>
            <a:srgbClr val="FF99FF"/>
          </a:solidFill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0066FF"/>
              </a:solidFill>
              <a:latin typeface="Helv"/>
            </a:rPr>
            <a:t>Zones à renseigner </a:t>
          </a:r>
          <a:r>
            <a:rPr lang="fr-FR" sz="1050" b="0" i="0" u="none" strike="noStrike" baseline="0">
              <a:solidFill>
                <a:srgbClr val="0066FF"/>
              </a:solidFill>
              <a:latin typeface="Helv"/>
            </a:rPr>
            <a:t>selon coefficient de </a:t>
          </a:r>
          <a:r>
            <a:rPr lang="fr-FR" sz="1050" b="0" i="0" u="none" strike="noStrike" baseline="0">
              <a:solidFill>
                <a:srgbClr val="0066FF"/>
              </a:solidFill>
              <a:latin typeface="Helv"/>
              <a:ea typeface="+mn-ea"/>
              <a:cs typeface="+mn-cs"/>
            </a:rPr>
            <a:t>classification </a:t>
          </a:r>
          <a:r>
            <a:rPr lang="fr-FR" sz="1050" b="0" i="0" u="none" strike="noStrike" baseline="0">
              <a:solidFill>
                <a:srgbClr val="0066FF"/>
              </a:solidFill>
              <a:latin typeface="Helv"/>
            </a:rPr>
            <a:t>et horaire mensuel payé.</a:t>
          </a:r>
        </a:p>
        <a:p>
          <a:pPr algn="ctr" rtl="0">
            <a:defRPr sz="1000"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(Cf. fiche de classification ou bulletin de salaire)  </a:t>
          </a:r>
          <a:endParaRPr lang="fr-FR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304799</xdr:colOff>
      <xdr:row>4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8F854AD-B5E1-4E32-A810-F230934A3F80}"/>
            </a:ext>
          </a:extLst>
        </xdr:cNvPr>
        <xdr:cNvSpPr txBox="1"/>
      </xdr:nvSpPr>
      <xdr:spPr>
        <a:xfrm>
          <a:off x="0" y="19050"/>
          <a:ext cx="30479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7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10/10/2022_yg</a:t>
          </a:r>
        </a:p>
        <a:p>
          <a:pPr algn="ctr"/>
          <a:endParaRPr lang="fr-FR" sz="700">
            <a:solidFill>
              <a:srgbClr val="0070C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647701</xdr:colOff>
      <xdr:row>13</xdr:row>
      <xdr:rowOff>171450</xdr:rowOff>
    </xdr:from>
    <xdr:to>
      <xdr:col>5</xdr:col>
      <xdr:colOff>523875</xdr:colOff>
      <xdr:row>17</xdr:row>
      <xdr:rowOff>9525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E7CDECD-871C-46D4-ADA0-24AB281B1BA4}"/>
            </a:ext>
          </a:extLst>
        </xdr:cNvPr>
        <xdr:cNvCxnSpPr/>
      </xdr:nvCxnSpPr>
      <xdr:spPr>
        <a:xfrm flipH="1">
          <a:off x="4610101" y="2466975"/>
          <a:ext cx="533399" cy="666750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15</xdr:row>
      <xdr:rowOff>38100</xdr:rowOff>
    </xdr:from>
    <xdr:to>
      <xdr:col>6</xdr:col>
      <xdr:colOff>209550</xdr:colOff>
      <xdr:row>18</xdr:row>
      <xdr:rowOff>123825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C8375557-DA32-49FA-B0A9-4674497CDBD6}"/>
            </a:ext>
          </a:extLst>
        </xdr:cNvPr>
        <xdr:cNvCxnSpPr/>
      </xdr:nvCxnSpPr>
      <xdr:spPr>
        <a:xfrm>
          <a:off x="5505450" y="2857500"/>
          <a:ext cx="0" cy="657225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12</xdr:row>
      <xdr:rowOff>66675</xdr:rowOff>
    </xdr:from>
    <xdr:to>
      <xdr:col>8</xdr:col>
      <xdr:colOff>504825</xdr:colOff>
      <xdr:row>15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20222FD-1BC0-43FD-9EB8-D9A2844FEE86}"/>
            </a:ext>
          </a:extLst>
        </xdr:cNvPr>
        <xdr:cNvSpPr txBox="1">
          <a:spLocks noChangeArrowheads="1"/>
        </xdr:cNvSpPr>
      </xdr:nvSpPr>
      <xdr:spPr bwMode="auto">
        <a:xfrm>
          <a:off x="5143500" y="2114550"/>
          <a:ext cx="2057400" cy="781050"/>
        </a:xfrm>
        <a:prstGeom prst="rect">
          <a:avLst/>
        </a:prstGeom>
        <a:solidFill>
          <a:srgbClr val="CCFF99"/>
        </a:solidFill>
        <a:ln>
          <a:headEnd/>
          <a:tailEnd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50" b="1" i="0" u="none" strike="noStrike" baseline="0">
              <a:solidFill>
                <a:srgbClr val="0066FF"/>
              </a:solidFill>
              <a:latin typeface="Helv"/>
            </a:rPr>
            <a:t>Zones à renseigner </a:t>
          </a:r>
          <a:r>
            <a:rPr lang="fr-FR" sz="1050" b="0" i="0" u="none" strike="noStrike" baseline="0">
              <a:solidFill>
                <a:srgbClr val="0066FF"/>
              </a:solidFill>
              <a:latin typeface="Helv"/>
            </a:rPr>
            <a:t>selon coefficient de </a:t>
          </a:r>
          <a:r>
            <a:rPr lang="fr-FR" sz="1050" b="0" i="0" u="none" strike="noStrike" baseline="0">
              <a:solidFill>
                <a:srgbClr val="0066FF"/>
              </a:solidFill>
              <a:latin typeface="Helv"/>
              <a:ea typeface="+mn-ea"/>
              <a:cs typeface="+mn-cs"/>
            </a:rPr>
            <a:t>classification </a:t>
          </a:r>
          <a:r>
            <a:rPr lang="fr-FR" sz="1050" b="0" i="0" u="none" strike="noStrike" baseline="0">
              <a:solidFill>
                <a:srgbClr val="0066FF"/>
              </a:solidFill>
              <a:latin typeface="Helv"/>
            </a:rPr>
            <a:t>et horaire mensuel payé.</a:t>
          </a:r>
        </a:p>
        <a:p>
          <a:pPr algn="ctr" rtl="0">
            <a:defRPr sz="1000"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lt"/>
              <a:ea typeface="+mn-ea"/>
              <a:cs typeface="+mn-cs"/>
            </a:rPr>
            <a:t>(Cf. fiche de classification ou bulletin de salaire)  </a:t>
          </a:r>
          <a:endParaRPr lang="fr-FR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24F0-C3BB-4223-B63B-08D2801144E2}">
  <sheetPr>
    <tabColor rgb="FFFFCCFF"/>
    <pageSetUpPr fitToPage="1"/>
  </sheetPr>
  <dimension ref="A1:Q144"/>
  <sheetViews>
    <sheetView tabSelected="1" workbookViewId="0">
      <selection activeCell="G11" sqref="G11"/>
    </sheetView>
  </sheetViews>
  <sheetFormatPr baseColWidth="10" defaultColWidth="8" defaultRowHeight="12" x14ac:dyDescent="0.2"/>
  <cols>
    <col min="1" max="1" width="12.7109375" style="2" bestFit="1" customWidth="1"/>
    <col min="2" max="2" width="16" style="2" customWidth="1"/>
    <col min="3" max="3" width="14.85546875" style="2" customWidth="1"/>
    <col min="4" max="4" width="15.85546875" style="2" customWidth="1"/>
    <col min="5" max="5" width="9.85546875" style="2" customWidth="1"/>
    <col min="6" max="6" width="10.140625" style="2" customWidth="1"/>
    <col min="7" max="7" width="13.28515625" style="2" customWidth="1"/>
    <col min="8" max="8" width="7.7109375" style="2" customWidth="1"/>
    <col min="9" max="9" width="9.7109375" style="2" customWidth="1"/>
    <col min="10" max="10" width="7.7109375" style="2" customWidth="1"/>
    <col min="11" max="11" width="10.140625" style="2" customWidth="1"/>
    <col min="12" max="12" width="6.28515625" style="2" customWidth="1"/>
    <col min="13" max="14" width="8" style="2"/>
    <col min="15" max="15" width="10.42578125" style="2" bestFit="1" customWidth="1"/>
    <col min="16" max="16" width="8" style="2"/>
    <col min="17" max="17" width="10.42578125" style="2" bestFit="1" customWidth="1"/>
    <col min="18" max="16384" width="8" style="2"/>
  </cols>
  <sheetData>
    <row r="1" spans="1:17" ht="9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22.5" customHeight="1" thickBot="1" x14ac:dyDescent="0.35">
      <c r="A2" s="3"/>
      <c r="B2" s="1"/>
      <c r="C2" s="1"/>
      <c r="D2" s="1"/>
      <c r="E2" s="4" t="s">
        <v>0</v>
      </c>
      <c r="F2" s="219"/>
      <c r="G2" s="220"/>
      <c r="H2" s="220"/>
      <c r="I2" s="220"/>
      <c r="J2" s="220"/>
      <c r="K2" s="221"/>
      <c r="L2" s="1"/>
    </row>
    <row r="3" spans="1:17" ht="6.75" customHeight="1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7.25" customHeight="1" x14ac:dyDescent="0.3">
      <c r="A4" s="222" t="s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"/>
    </row>
    <row r="5" spans="1:17" ht="6" customHeight="1" thickBot="1" x14ac:dyDescent="0.3">
      <c r="A5" s="6"/>
      <c r="B5" s="5"/>
      <c r="C5" s="5"/>
      <c r="D5" s="5"/>
      <c r="E5" s="7"/>
      <c r="F5" s="8"/>
      <c r="G5" s="9"/>
      <c r="H5" s="5"/>
      <c r="I5" s="1"/>
      <c r="J5" s="1"/>
      <c r="K5" s="1"/>
      <c r="L5" s="1"/>
    </row>
    <row r="6" spans="1:17" ht="21" customHeight="1" thickBot="1" x14ac:dyDescent="0.3">
      <c r="A6" s="10" t="s">
        <v>2</v>
      </c>
      <c r="B6" s="5"/>
      <c r="C6" s="5"/>
      <c r="D6" s="7" t="s">
        <v>3</v>
      </c>
      <c r="E6" s="8"/>
      <c r="F6" s="223"/>
      <c r="G6" s="224"/>
      <c r="H6" s="224"/>
      <c r="I6" s="224"/>
      <c r="J6" s="225"/>
      <c r="K6" s="1"/>
      <c r="L6" s="1"/>
    </row>
    <row r="7" spans="1:17" ht="7.5" customHeight="1" x14ac:dyDescent="0.2">
      <c r="A7" s="1"/>
      <c r="B7" s="1"/>
      <c r="C7" s="1"/>
      <c r="D7" s="1"/>
      <c r="E7" s="1"/>
      <c r="F7" s="1"/>
      <c r="G7" s="11"/>
      <c r="H7" s="12"/>
      <c r="I7" s="1"/>
      <c r="J7" s="13"/>
      <c r="K7" s="14"/>
      <c r="L7" s="15"/>
    </row>
    <row r="8" spans="1:17" s="17" customFormat="1" ht="18" customHeight="1" x14ac:dyDescent="0.25">
      <c r="A8" s="10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P8" s="18"/>
    </row>
    <row r="9" spans="1:17" x14ac:dyDescent="0.2">
      <c r="A9" s="1"/>
      <c r="B9" s="1"/>
      <c r="C9" s="1"/>
      <c r="D9" s="1"/>
      <c r="E9" s="1"/>
      <c r="F9" s="1"/>
      <c r="G9" s="11"/>
      <c r="H9" s="12"/>
      <c r="I9" s="1"/>
      <c r="J9" s="13"/>
      <c r="K9" s="14"/>
      <c r="L9" s="15"/>
    </row>
    <row r="10" spans="1:17" ht="15.75" customHeight="1" x14ac:dyDescent="0.25">
      <c r="A10" s="19" t="s">
        <v>5</v>
      </c>
      <c r="B10" s="20"/>
      <c r="C10" s="20"/>
      <c r="D10" s="20"/>
      <c r="E10" s="21" t="s">
        <v>6</v>
      </c>
      <c r="F10" s="22"/>
      <c r="G10" s="23" t="s">
        <v>7</v>
      </c>
      <c r="H10" s="24"/>
      <c r="I10" s="1"/>
      <c r="J10" s="13"/>
      <c r="K10" s="226" t="s">
        <v>8</v>
      </c>
      <c r="L10" s="226"/>
    </row>
    <row r="11" spans="1:17" ht="15.75" customHeight="1" x14ac:dyDescent="0.25">
      <c r="A11" s="209">
        <v>44835</v>
      </c>
      <c r="B11" s="25"/>
      <c r="C11" s="25"/>
      <c r="D11" s="25"/>
      <c r="E11" s="26">
        <f>18.79</f>
        <v>18.79</v>
      </c>
      <c r="F11" s="27">
        <f>E11/12</f>
        <v>1.5658333333333332</v>
      </c>
      <c r="G11" s="28">
        <f>ROUND(E11/12,3)</f>
        <v>1.5660000000000001</v>
      </c>
      <c r="H11" s="29" t="s">
        <v>9</v>
      </c>
      <c r="I11" s="1"/>
      <c r="J11" s="13"/>
      <c r="K11" s="226"/>
      <c r="L11" s="226"/>
    </row>
    <row r="12" spans="1:17" ht="9" customHeight="1" x14ac:dyDescent="0.25">
      <c r="A12" s="5"/>
      <c r="B12" s="5"/>
      <c r="C12" s="5"/>
      <c r="D12" s="5"/>
      <c r="E12" s="30"/>
      <c r="F12" s="8"/>
      <c r="G12" s="31"/>
      <c r="H12" s="5"/>
      <c r="I12" s="1"/>
      <c r="J12" s="13"/>
      <c r="K12" s="227"/>
      <c r="L12" s="227"/>
    </row>
    <row r="13" spans="1:17" ht="19.5" customHeight="1" x14ac:dyDescent="0.2">
      <c r="A13" s="32" t="s">
        <v>60</v>
      </c>
      <c r="B13" s="33"/>
      <c r="C13" s="33"/>
      <c r="D13" s="211">
        <v>11.07</v>
      </c>
      <c r="E13" s="34"/>
      <c r="F13" s="1"/>
      <c r="G13" s="11"/>
      <c r="H13" s="12"/>
      <c r="I13" s="1"/>
      <c r="J13" s="13"/>
      <c r="K13" s="228">
        <f>1477</f>
        <v>1477</v>
      </c>
      <c r="L13" s="229"/>
      <c r="Q13" s="35"/>
    </row>
    <row r="14" spans="1:17" ht="18.75" customHeight="1" x14ac:dyDescent="0.2">
      <c r="A14" s="207" t="s">
        <v>61</v>
      </c>
      <c r="B14" s="36"/>
      <c r="C14" s="36"/>
      <c r="D14" s="208">
        <f>1085*F11</f>
        <v>1698.9291666666666</v>
      </c>
      <c r="E14" s="34"/>
      <c r="F14" s="1"/>
      <c r="G14" s="11"/>
      <c r="H14" s="12"/>
      <c r="I14" s="1"/>
      <c r="J14" s="13"/>
      <c r="K14" s="14" t="s">
        <v>10</v>
      </c>
      <c r="L14" s="15"/>
    </row>
    <row r="15" spans="1:17" ht="21.75" customHeight="1" x14ac:dyDescent="0.25">
      <c r="A15" s="207" t="s">
        <v>59</v>
      </c>
      <c r="B15" s="37"/>
      <c r="C15" s="37"/>
      <c r="D15" s="210">
        <f>ROUND(D14/151.67,2)</f>
        <v>11.2</v>
      </c>
      <c r="E15" s="1"/>
      <c r="F15" s="1"/>
      <c r="G15" s="1"/>
      <c r="H15" s="1"/>
      <c r="I15" s="1"/>
      <c r="J15" s="1"/>
      <c r="K15" s="217">
        <f>K18/35*K13</f>
        <v>1012.8</v>
      </c>
      <c r="L15" s="218"/>
    </row>
    <row r="16" spans="1:17" ht="18" customHeight="1" x14ac:dyDescent="0.2">
      <c r="A16" s="38" t="s">
        <v>54</v>
      </c>
      <c r="B16" s="39"/>
      <c r="C16" s="39"/>
      <c r="D16" s="40">
        <v>3428</v>
      </c>
      <c r="E16" s="1"/>
      <c r="F16" s="1"/>
      <c r="G16" s="1"/>
      <c r="H16" s="1"/>
      <c r="I16" s="1"/>
      <c r="J16" s="1"/>
      <c r="K16" s="41" t="s">
        <v>11</v>
      </c>
      <c r="L16" s="1"/>
      <c r="M16" s="1"/>
    </row>
    <row r="17" spans="1:17" ht="6" customHeight="1" thickBot="1" x14ac:dyDescent="0.25">
      <c r="A17" s="42"/>
      <c r="B17" s="43"/>
      <c r="C17" s="43"/>
      <c r="D17" s="44"/>
      <c r="E17" s="1"/>
      <c r="F17" s="1"/>
      <c r="G17" s="1"/>
      <c r="H17" s="1"/>
      <c r="I17" s="1"/>
      <c r="J17" s="1"/>
      <c r="K17" s="45"/>
      <c r="L17" s="1"/>
    </row>
    <row r="18" spans="1:17" s="17" customFormat="1" ht="21" customHeight="1" thickTop="1" thickBot="1" x14ac:dyDescent="0.3">
      <c r="A18" s="10" t="s">
        <v>12</v>
      </c>
      <c r="B18" s="16"/>
      <c r="C18" s="16"/>
      <c r="D18" s="46"/>
      <c r="E18" s="47">
        <v>1085</v>
      </c>
      <c r="F18" s="48" t="s">
        <v>13</v>
      </c>
      <c r="G18" s="16"/>
      <c r="H18" s="16"/>
      <c r="I18" s="16"/>
      <c r="J18" s="34" t="s">
        <v>14</v>
      </c>
      <c r="K18" s="49">
        <f>ROUND(G20/4.3333,2)</f>
        <v>24</v>
      </c>
      <c r="L18" s="50" t="s">
        <v>15</v>
      </c>
    </row>
    <row r="19" spans="1:17" ht="13.5" thickTop="1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51"/>
      <c r="K19" s="52" t="s">
        <v>16</v>
      </c>
      <c r="L19" s="1"/>
    </row>
    <row r="20" spans="1:17" ht="21" customHeight="1" thickTop="1" thickBot="1" x14ac:dyDescent="0.25">
      <c r="A20" s="53" t="s">
        <v>17</v>
      </c>
      <c r="B20" s="11"/>
      <c r="C20" s="11"/>
      <c r="D20" s="11"/>
      <c r="E20" s="1"/>
      <c r="F20" s="54"/>
      <c r="G20" s="55">
        <v>104</v>
      </c>
      <c r="H20" s="56" t="s">
        <v>18</v>
      </c>
      <c r="I20" s="57"/>
      <c r="J20" s="58"/>
      <c r="K20" s="1"/>
      <c r="L20" s="1"/>
    </row>
    <row r="21" spans="1:17" s="17" customFormat="1" ht="21" customHeight="1" thickTop="1" thickBot="1" x14ac:dyDescent="0.3">
      <c r="A21" s="59" t="s">
        <v>19</v>
      </c>
      <c r="B21" s="60"/>
      <c r="C21" s="60"/>
      <c r="D21" s="60"/>
      <c r="E21" s="60"/>
      <c r="F21" s="60"/>
      <c r="G21" s="61">
        <f>ROUND(E18*$G$11,2)*G20/151.67</f>
        <v>1165.0783938814532</v>
      </c>
      <c r="H21" s="62" t="s">
        <v>9</v>
      </c>
      <c r="I21" s="63"/>
      <c r="J21" s="64" t="s">
        <v>20</v>
      </c>
      <c r="K21" s="65">
        <f>G21/G20</f>
        <v>11.202676864244742</v>
      </c>
      <c r="L21" s="16"/>
    </row>
    <row r="22" spans="1:17" s="17" customFormat="1" ht="18" customHeight="1" thickBot="1" x14ac:dyDescent="0.3">
      <c r="A22" s="70" t="s">
        <v>22</v>
      </c>
      <c r="B22" s="71"/>
      <c r="C22" s="71"/>
      <c r="D22" s="66"/>
      <c r="E22" s="72">
        <v>0</v>
      </c>
      <c r="F22" s="73">
        <v>5</v>
      </c>
      <c r="G22" s="74">
        <f>E22*F22</f>
        <v>0</v>
      </c>
      <c r="H22" s="75" t="s">
        <v>9</v>
      </c>
      <c r="I22" s="71"/>
      <c r="J22" s="76" t="s">
        <v>20</v>
      </c>
      <c r="K22" s="77">
        <f>G22/G20</f>
        <v>0</v>
      </c>
      <c r="L22" s="16"/>
    </row>
    <row r="23" spans="1:17" s="69" customFormat="1" ht="20.25" customHeight="1" x14ac:dyDescent="0.25">
      <c r="A23" s="205" t="s">
        <v>21</v>
      </c>
      <c r="B23" s="203"/>
      <c r="C23" s="203"/>
      <c r="D23" s="212"/>
      <c r="E23" s="212"/>
      <c r="F23" s="213"/>
      <c r="G23" s="204">
        <f>IF((K21+K22)&lt;D13,(G20*D13)-(G21+G22),0)</f>
        <v>0</v>
      </c>
      <c r="H23" s="214" t="s">
        <v>9</v>
      </c>
      <c r="I23" s="212"/>
      <c r="J23" s="215"/>
      <c r="K23" s="216">
        <f>G23/G20</f>
        <v>0</v>
      </c>
      <c r="L23" s="212"/>
    </row>
    <row r="24" spans="1:17" s="85" customFormat="1" ht="9.75" customHeight="1" thickBot="1" x14ac:dyDescent="0.3">
      <c r="A24" s="78"/>
      <c r="B24" s="79"/>
      <c r="C24" s="79"/>
      <c r="D24" s="79"/>
      <c r="E24" s="79"/>
      <c r="F24" s="80"/>
      <c r="G24" s="81"/>
      <c r="H24" s="82"/>
      <c r="I24" s="79"/>
      <c r="J24" s="83"/>
      <c r="K24" s="84"/>
      <c r="L24" s="79"/>
    </row>
    <row r="25" spans="1:17" ht="17.25" customHeight="1" thickBot="1" x14ac:dyDescent="0.25">
      <c r="A25" s="54" t="s">
        <v>24</v>
      </c>
      <c r="B25" s="1"/>
      <c r="C25" s="1"/>
      <c r="D25" s="1"/>
      <c r="E25" s="86">
        <v>0</v>
      </c>
      <c r="F25" s="1"/>
      <c r="G25" s="87">
        <f>ROUND(E25*G11*G20/151.67,2)</f>
        <v>0</v>
      </c>
      <c r="H25" s="88" t="s">
        <v>9</v>
      </c>
      <c r="I25" s="71"/>
      <c r="J25" s="76" t="s">
        <v>23</v>
      </c>
      <c r="K25" s="89">
        <f>G25/G20</f>
        <v>0</v>
      </c>
      <c r="L25" s="1"/>
    </row>
    <row r="26" spans="1:17" s="17" customFormat="1" ht="21" customHeight="1" thickBot="1" x14ac:dyDescent="0.3">
      <c r="A26" s="90" t="s">
        <v>25</v>
      </c>
      <c r="B26" s="91"/>
      <c r="C26" s="91"/>
      <c r="D26" s="91"/>
      <c r="E26" s="91"/>
      <c r="F26" s="92" t="s">
        <v>26</v>
      </c>
      <c r="G26" s="93">
        <f>SUM(G21:G25)</f>
        <v>1165.0783938814532</v>
      </c>
      <c r="H26" s="94" t="s">
        <v>9</v>
      </c>
      <c r="I26" s="95"/>
      <c r="J26" s="96" t="s">
        <v>27</v>
      </c>
      <c r="K26" s="97">
        <f>G26/G20</f>
        <v>11.202676864244742</v>
      </c>
      <c r="L26" s="98"/>
    </row>
    <row r="27" spans="1:17" s="17" customFormat="1" ht="5.25" customHeight="1" x14ac:dyDescent="0.25">
      <c r="A27" s="10"/>
      <c r="B27" s="53"/>
      <c r="C27" s="53"/>
      <c r="D27" s="53"/>
      <c r="E27" s="99"/>
      <c r="F27" s="100"/>
      <c r="G27" s="101"/>
      <c r="H27" s="102"/>
      <c r="I27" s="16"/>
      <c r="J27" s="103"/>
      <c r="K27" s="104"/>
      <c r="L27" s="105"/>
    </row>
    <row r="28" spans="1:17" ht="21" customHeight="1" thickBot="1" x14ac:dyDescent="0.25">
      <c r="A28" s="70" t="s">
        <v>55</v>
      </c>
      <c r="B28" s="1"/>
      <c r="C28" s="1"/>
      <c r="D28" s="51"/>
      <c r="E28" s="106">
        <f>(7+8.55+1.9+3.45+0.3+1.26+0.1+0.016+4.05+0.15+6.1+1.29+1.35+0.55+0.3)%</f>
        <v>0.36365999999999993</v>
      </c>
      <c r="F28" s="1"/>
      <c r="G28" s="107">
        <f>ROUND(G26*E28,2)</f>
        <v>423.69</v>
      </c>
      <c r="H28" s="1"/>
      <c r="I28" s="1"/>
      <c r="J28" s="108"/>
      <c r="K28" s="109"/>
      <c r="L28" s="1"/>
    </row>
    <row r="29" spans="1:17" ht="21" customHeight="1" thickBot="1" x14ac:dyDescent="0.25">
      <c r="A29" s="70" t="s">
        <v>56</v>
      </c>
      <c r="B29" s="1"/>
      <c r="C29" s="1"/>
      <c r="D29" s="110" t="s">
        <v>29</v>
      </c>
      <c r="F29" s="111">
        <f>IF(D29="AFF",41.3,0)</f>
        <v>41.3</v>
      </c>
      <c r="G29" s="107">
        <f>F29*0.5</f>
        <v>20.65</v>
      </c>
      <c r="H29" s="1"/>
      <c r="I29" s="1"/>
      <c r="J29" s="1"/>
      <c r="K29" s="112">
        <f>-(F29*0.5*1.097)</f>
        <v>-22.653049999999997</v>
      </c>
      <c r="L29" s="1"/>
    </row>
    <row r="30" spans="1:17" ht="21" customHeight="1" x14ac:dyDescent="0.2">
      <c r="A30" s="54" t="s">
        <v>30</v>
      </c>
      <c r="B30" s="1"/>
      <c r="C30" s="1"/>
      <c r="D30" s="1"/>
      <c r="E30" s="113">
        <f>ROUND(IF(-(0.3195/0.6)*((1.6*(G20*D13)/G26)-1)&gt;0,0,-(0.3195/0.6)*((1.6*(G20*D13)/G26)-1)),4)</f>
        <v>-0.30940000000000001</v>
      </c>
      <c r="F30" s="1"/>
      <c r="G30" s="107">
        <f>+G26*E30</f>
        <v>-360.47525506692165</v>
      </c>
      <c r="H30" s="1"/>
      <c r="I30" s="114"/>
      <c r="J30" s="108" t="s">
        <v>31</v>
      </c>
      <c r="K30" s="109">
        <f>G26*0.77918+K29</f>
        <v>885.15273294455062</v>
      </c>
      <c r="L30" s="115"/>
      <c r="Q30" s="116"/>
    </row>
    <row r="31" spans="1:17" s="69" customFormat="1" ht="6" customHeight="1" x14ac:dyDescent="0.25">
      <c r="A31" s="117"/>
      <c r="B31" s="66"/>
      <c r="C31" s="66"/>
      <c r="D31" s="66"/>
      <c r="E31" s="66"/>
      <c r="F31" s="67"/>
      <c r="G31" s="118"/>
      <c r="H31" s="119"/>
      <c r="I31" s="66"/>
      <c r="J31" s="68"/>
      <c r="K31" s="120"/>
      <c r="L31" s="121"/>
    </row>
    <row r="32" spans="1:17" ht="21" customHeight="1" thickBot="1" x14ac:dyDescent="0.25">
      <c r="A32" s="122" t="s">
        <v>32</v>
      </c>
      <c r="B32" s="123"/>
      <c r="C32" s="123"/>
      <c r="D32" s="123"/>
      <c r="E32" s="124">
        <f>SUM(E28:E30)</f>
        <v>5.4259999999999919E-2</v>
      </c>
      <c r="F32" s="125"/>
      <c r="G32" s="126">
        <f>SUM(G28:G30)</f>
        <v>83.864744933078327</v>
      </c>
      <c r="H32" s="94" t="s">
        <v>9</v>
      </c>
      <c r="I32" s="125"/>
      <c r="J32" s="125"/>
      <c r="K32" s="125"/>
      <c r="L32" s="125"/>
    </row>
    <row r="33" spans="1:15" s="17" customFormat="1" ht="21" customHeight="1" thickBot="1" x14ac:dyDescent="0.3">
      <c r="A33" s="127" t="s">
        <v>33</v>
      </c>
      <c r="B33" s="128"/>
      <c r="C33" s="16"/>
      <c r="D33" s="16"/>
      <c r="E33" s="16"/>
      <c r="F33" s="16"/>
      <c r="G33" s="232">
        <f>G26+G32</f>
        <v>1248.9431388145315</v>
      </c>
      <c r="H33" s="233"/>
      <c r="I33" s="129" t="s">
        <v>34</v>
      </c>
      <c r="J33" s="130"/>
      <c r="K33" s="16"/>
      <c r="L33" s="16"/>
      <c r="O33" s="131"/>
    </row>
    <row r="34" spans="1:15" s="17" customFormat="1" ht="18.75" customHeight="1" x14ac:dyDescent="0.25">
      <c r="A34" s="132" t="s">
        <v>35</v>
      </c>
      <c r="B34" s="71"/>
      <c r="C34" s="71"/>
      <c r="D34" s="16"/>
      <c r="E34" s="133">
        <f>E22</f>
        <v>0</v>
      </c>
      <c r="F34" s="134">
        <f>-F22</f>
        <v>-5</v>
      </c>
      <c r="G34" s="135">
        <f>E34*F34</f>
        <v>0</v>
      </c>
      <c r="H34" s="136" t="s">
        <v>9</v>
      </c>
      <c r="I34" s="137"/>
      <c r="J34" s="138" t="s">
        <v>36</v>
      </c>
      <c r="K34" s="139">
        <f>K30+G34</f>
        <v>885.15273294455062</v>
      </c>
      <c r="L34" s="140" t="s">
        <v>37</v>
      </c>
    </row>
    <row r="35" spans="1:15" s="17" customFormat="1" ht="7.5" customHeight="1" x14ac:dyDescent="0.25">
      <c r="A35" s="132"/>
      <c r="B35" s="71"/>
      <c r="C35" s="71"/>
      <c r="D35" s="16"/>
      <c r="E35" s="141"/>
      <c r="F35" s="142"/>
      <c r="G35" s="74"/>
      <c r="H35" s="75"/>
      <c r="I35" s="71"/>
      <c r="J35" s="76"/>
      <c r="K35" s="143"/>
      <c r="L35" s="115"/>
    </row>
    <row r="36" spans="1:15" ht="14.25" customHeight="1" thickBot="1" x14ac:dyDescent="0.25">
      <c r="B36" s="45"/>
      <c r="C36" s="144"/>
      <c r="D36" s="1"/>
      <c r="E36" s="144"/>
      <c r="F36" s="11"/>
      <c r="G36" s="1"/>
      <c r="H36" s="1"/>
      <c r="I36" s="1"/>
      <c r="J36" s="145"/>
      <c r="K36" s="234" t="s">
        <v>38</v>
      </c>
      <c r="L36" s="235"/>
    </row>
    <row r="37" spans="1:15" s="17" customFormat="1" ht="21" customHeight="1" thickBot="1" x14ac:dyDescent="0.25">
      <c r="A37" s="146">
        <f>K18/35</f>
        <v>0.68571428571428572</v>
      </c>
      <c r="B37" s="10" t="s">
        <v>39</v>
      </c>
      <c r="C37" s="10"/>
      <c r="D37" s="16"/>
      <c r="E37" s="147"/>
      <c r="F37" s="148" t="s">
        <v>40</v>
      </c>
      <c r="G37" s="236">
        <f>(G33*12)+G34*11.667</f>
        <v>14987.317665774379</v>
      </c>
      <c r="H37" s="236"/>
      <c r="I37" s="149" t="s">
        <v>41</v>
      </c>
      <c r="J37" s="16"/>
      <c r="K37" s="237">
        <f>G37/(G20*12)</f>
        <v>12.009068642447419</v>
      </c>
      <c r="L37" s="238"/>
    </row>
    <row r="38" spans="1:15" ht="15" customHeight="1" thickBot="1" x14ac:dyDescent="0.25">
      <c r="A38" s="150" t="s">
        <v>42</v>
      </c>
      <c r="B38" s="1"/>
      <c r="C38" s="1"/>
      <c r="D38" s="1"/>
      <c r="E38" s="1"/>
      <c r="F38" s="1"/>
      <c r="G38" s="11"/>
      <c r="H38" s="12"/>
      <c r="I38" s="1"/>
      <c r="J38" s="13" t="s">
        <v>43</v>
      </c>
      <c r="K38" s="151">
        <f>K37*151.67*12</f>
        <v>21856.985291999998</v>
      </c>
      <c r="L38" s="15"/>
    </row>
    <row r="39" spans="1:15" ht="18.75" customHeight="1" thickBot="1" x14ac:dyDescent="0.25">
      <c r="A39" s="1"/>
      <c r="B39" s="152">
        <f>G37/(A37*K13)</f>
        <v>14.797904488323834</v>
      </c>
      <c r="C39" s="1"/>
      <c r="D39" s="1"/>
      <c r="E39" s="1"/>
      <c r="F39" s="1"/>
      <c r="G39" s="11"/>
      <c r="H39" s="12"/>
      <c r="I39" s="1"/>
      <c r="J39" s="13"/>
      <c r="K39" s="151"/>
      <c r="L39" s="15"/>
    </row>
    <row r="40" spans="1:15" ht="21" customHeight="1" thickBot="1" x14ac:dyDescent="0.25">
      <c r="B40" s="1"/>
      <c r="C40" s="1"/>
      <c r="D40" s="1"/>
      <c r="E40" s="153" t="s">
        <v>44</v>
      </c>
      <c r="F40" s="154" t="s">
        <v>45</v>
      </c>
      <c r="G40" s="155">
        <f>G26*12</f>
        <v>13980.940726577439</v>
      </c>
      <c r="H40" s="239" t="s">
        <v>58</v>
      </c>
      <c r="I40" s="240"/>
      <c r="J40" s="241">
        <f>G40*0.17*1.36366</f>
        <v>3241.0924373047806</v>
      </c>
      <c r="K40" s="242"/>
      <c r="L40" s="15"/>
    </row>
    <row r="41" spans="1:15" ht="21" customHeight="1" thickBot="1" x14ac:dyDescent="0.3">
      <c r="A41" s="156"/>
      <c r="B41" s="1"/>
      <c r="C41" s="1"/>
      <c r="D41" s="1"/>
      <c r="E41" s="1"/>
      <c r="F41" s="1"/>
      <c r="G41" s="11"/>
      <c r="H41" s="157" t="s">
        <v>46</v>
      </c>
      <c r="I41" s="1" t="s">
        <v>26</v>
      </c>
      <c r="J41" s="230">
        <f>+G37+J40</f>
        <v>18228.410103079161</v>
      </c>
      <c r="K41" s="231"/>
      <c r="L41" s="15"/>
    </row>
    <row r="42" spans="1:15" s="17" customFormat="1" ht="17.25" customHeight="1" x14ac:dyDescent="0.25">
      <c r="A42" s="206" t="s">
        <v>53</v>
      </c>
      <c r="B42" s="16"/>
      <c r="C42" s="34"/>
      <c r="D42" s="158"/>
      <c r="E42" s="16"/>
      <c r="F42" s="16"/>
      <c r="G42" s="159"/>
      <c r="H42" s="160" t="s">
        <v>47</v>
      </c>
      <c r="I42" s="16"/>
      <c r="J42" s="161"/>
      <c r="K42" s="161"/>
      <c r="L42" s="162"/>
    </row>
    <row r="43" spans="1:15" x14ac:dyDescent="0.2">
      <c r="A43" s="51" t="s">
        <v>48</v>
      </c>
      <c r="B43" s="1"/>
      <c r="C43" s="1"/>
      <c r="D43" s="1"/>
      <c r="E43" s="1"/>
      <c r="F43" s="1"/>
      <c r="G43" s="1"/>
      <c r="H43" s="1"/>
      <c r="I43" s="1"/>
      <c r="J43" s="1"/>
      <c r="K43" s="163"/>
      <c r="L43" s="1"/>
    </row>
    <row r="44" spans="1:15" x14ac:dyDescent="0.2">
      <c r="A44" s="58" t="s">
        <v>49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5" ht="10.5" customHeight="1" x14ac:dyDescent="0.2">
      <c r="A45" s="164" t="s">
        <v>50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5" ht="7.5" customHeight="1" x14ac:dyDescent="0.2"/>
    <row r="47" spans="1:15" x14ac:dyDescent="0.2">
      <c r="D47" s="166"/>
    </row>
    <row r="48" spans="1:15" ht="12.75" customHeight="1" x14ac:dyDescent="0.2"/>
    <row r="49" spans="1:12" ht="21.75" customHeight="1" x14ac:dyDescent="0.2">
      <c r="D49" s="167"/>
      <c r="E49" s="167"/>
      <c r="H49" s="167"/>
      <c r="I49" s="167"/>
    </row>
    <row r="50" spans="1:12" ht="15" customHeight="1" x14ac:dyDescent="0.2"/>
    <row r="51" spans="1:12" ht="13.5" customHeight="1" x14ac:dyDescent="0.2">
      <c r="D51" s="168"/>
      <c r="E51" s="167"/>
      <c r="F51" s="167"/>
      <c r="G51" s="167"/>
      <c r="H51" s="167"/>
      <c r="I51" s="167"/>
      <c r="J51" s="168"/>
      <c r="K51" s="168"/>
    </row>
    <row r="52" spans="1:12" ht="15.75" customHeight="1" x14ac:dyDescent="0.2">
      <c r="D52" s="168"/>
      <c r="E52" s="167"/>
      <c r="H52" s="167"/>
      <c r="I52" s="167"/>
      <c r="J52" s="167"/>
      <c r="K52" s="167"/>
    </row>
    <row r="53" spans="1:12" ht="13.5" customHeight="1" x14ac:dyDescent="0.2">
      <c r="D53" s="168"/>
      <c r="E53" s="167"/>
      <c r="H53" s="167"/>
      <c r="I53" s="167"/>
      <c r="J53" s="167"/>
      <c r="K53" s="167"/>
    </row>
    <row r="54" spans="1:12" ht="15" customHeight="1" x14ac:dyDescent="0.2">
      <c r="D54" s="168"/>
      <c r="E54" s="167"/>
      <c r="H54" s="167"/>
      <c r="I54" s="167"/>
      <c r="J54" s="167"/>
      <c r="K54" s="167"/>
    </row>
    <row r="55" spans="1:12" ht="15.75" customHeight="1" x14ac:dyDescent="0.2">
      <c r="D55" s="168"/>
      <c r="E55" s="167"/>
      <c r="F55" s="167"/>
      <c r="G55" s="167"/>
      <c r="J55" s="167"/>
      <c r="K55" s="167"/>
    </row>
    <row r="56" spans="1:12" ht="17.25" customHeight="1" x14ac:dyDescent="0.2">
      <c r="D56" s="168"/>
      <c r="E56" s="167"/>
      <c r="F56" s="167"/>
      <c r="G56" s="167"/>
      <c r="J56" s="167"/>
      <c r="K56" s="167"/>
    </row>
    <row r="57" spans="1:12" ht="14.25" customHeight="1" x14ac:dyDescent="0.2">
      <c r="D57" s="168"/>
      <c r="E57" s="167"/>
      <c r="F57" s="167"/>
      <c r="G57" s="167"/>
      <c r="J57" s="167"/>
      <c r="K57" s="167"/>
    </row>
    <row r="58" spans="1:12" x14ac:dyDescent="0.2">
      <c r="D58" s="168"/>
      <c r="E58" s="167"/>
      <c r="H58" s="167"/>
      <c r="I58" s="167"/>
      <c r="L58" s="169"/>
    </row>
    <row r="59" spans="1:12" x14ac:dyDescent="0.2">
      <c r="D59" s="168"/>
      <c r="E59" s="167"/>
      <c r="H59" s="167"/>
      <c r="I59" s="167"/>
      <c r="L59" s="169"/>
    </row>
    <row r="60" spans="1:12" ht="9" customHeight="1" x14ac:dyDescent="0.2">
      <c r="D60" s="168"/>
      <c r="E60" s="167"/>
      <c r="H60" s="167"/>
      <c r="I60" s="167"/>
    </row>
    <row r="61" spans="1:12" ht="4.5" customHeight="1" x14ac:dyDescent="0.2">
      <c r="D61" s="168"/>
      <c r="E61" s="167"/>
      <c r="F61" s="167"/>
      <c r="G61" s="167"/>
      <c r="H61" s="167"/>
      <c r="I61" s="167"/>
      <c r="J61" s="168"/>
      <c r="K61" s="168"/>
    </row>
    <row r="62" spans="1:12" s="17" customFormat="1" ht="2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7.5" customHeight="1" x14ac:dyDescent="0.2"/>
    <row r="65" spans="4:12" ht="18" customHeight="1" x14ac:dyDescent="0.2"/>
    <row r="66" spans="4:12" ht="14.25" customHeight="1" x14ac:dyDescent="0.2"/>
    <row r="67" spans="4:12" ht="24" customHeight="1" x14ac:dyDescent="0.2"/>
    <row r="69" spans="4:12" x14ac:dyDescent="0.2">
      <c r="D69" s="167"/>
      <c r="E69" s="167"/>
      <c r="H69" s="167"/>
      <c r="I69" s="167"/>
      <c r="J69" s="167"/>
      <c r="K69" s="167"/>
    </row>
    <row r="70" spans="4:12" x14ac:dyDescent="0.2">
      <c r="L70" s="169"/>
    </row>
    <row r="71" spans="4:12" x14ac:dyDescent="0.2">
      <c r="D71" s="168"/>
      <c r="E71" s="167"/>
      <c r="F71" s="168"/>
      <c r="G71" s="168"/>
      <c r="H71" s="169"/>
      <c r="I71" s="169"/>
      <c r="J71" s="168"/>
      <c r="K71" s="168"/>
      <c r="L71" s="169"/>
    </row>
    <row r="72" spans="4:12" x14ac:dyDescent="0.2">
      <c r="D72" s="168"/>
      <c r="E72" s="167"/>
      <c r="F72" s="168"/>
      <c r="G72" s="168"/>
      <c r="H72" s="169"/>
      <c r="I72" s="169"/>
      <c r="J72" s="168"/>
      <c r="K72" s="168"/>
    </row>
    <row r="73" spans="4:12" x14ac:dyDescent="0.2">
      <c r="D73" s="168"/>
      <c r="E73" s="167"/>
      <c r="F73" s="168"/>
      <c r="G73" s="168"/>
      <c r="H73" s="169"/>
      <c r="I73" s="169"/>
      <c r="J73" s="168"/>
      <c r="K73" s="168"/>
      <c r="L73" s="168"/>
    </row>
    <row r="74" spans="4:12" x14ac:dyDescent="0.2">
      <c r="D74" s="168"/>
      <c r="E74" s="167"/>
      <c r="H74" s="168"/>
      <c r="I74" s="168"/>
      <c r="J74" s="169"/>
      <c r="K74" s="169"/>
      <c r="L74" s="169"/>
    </row>
    <row r="75" spans="4:12" x14ac:dyDescent="0.2">
      <c r="D75" s="168"/>
      <c r="E75" s="167"/>
      <c r="H75" s="168"/>
      <c r="I75" s="168"/>
      <c r="J75" s="169"/>
      <c r="K75" s="169"/>
    </row>
    <row r="76" spans="4:12" x14ac:dyDescent="0.2">
      <c r="D76" s="168"/>
      <c r="E76" s="167"/>
      <c r="H76" s="168"/>
      <c r="I76" s="168"/>
      <c r="J76" s="169"/>
      <c r="K76" s="169"/>
    </row>
    <row r="83" spans="4:5" x14ac:dyDescent="0.2">
      <c r="D83" s="167"/>
      <c r="E83" s="167"/>
    </row>
    <row r="85" spans="4:5" x14ac:dyDescent="0.2">
      <c r="D85" s="167"/>
    </row>
    <row r="86" spans="4:5" x14ac:dyDescent="0.2">
      <c r="D86" s="167"/>
    </row>
    <row r="91" spans="4:5" x14ac:dyDescent="0.2">
      <c r="D91" s="167"/>
    </row>
    <row r="92" spans="4:5" x14ac:dyDescent="0.2">
      <c r="D92" s="167"/>
    </row>
    <row r="93" spans="4:5" x14ac:dyDescent="0.2">
      <c r="D93" s="167"/>
    </row>
    <row r="95" spans="4:5" x14ac:dyDescent="0.2">
      <c r="D95" s="167"/>
    </row>
    <row r="100" spans="4:12" x14ac:dyDescent="0.2">
      <c r="D100" s="167"/>
    </row>
    <row r="108" spans="4:12" x14ac:dyDescent="0.2">
      <c r="E108" s="167"/>
    </row>
    <row r="109" spans="4:12" x14ac:dyDescent="0.2">
      <c r="D109" s="167"/>
    </row>
    <row r="111" spans="4:12" x14ac:dyDescent="0.2">
      <c r="F111" s="167"/>
      <c r="G111" s="167"/>
      <c r="H111" s="167"/>
      <c r="I111" s="167"/>
      <c r="J111" s="167"/>
      <c r="K111" s="167"/>
      <c r="L111" s="167"/>
    </row>
    <row r="112" spans="4:12" x14ac:dyDescent="0.2">
      <c r="F112" s="167"/>
      <c r="G112" s="167"/>
    </row>
    <row r="114" spans="4:11" x14ac:dyDescent="0.2">
      <c r="D114" s="168"/>
      <c r="F114" s="168"/>
      <c r="G114" s="168"/>
      <c r="H114" s="169"/>
      <c r="I114" s="169"/>
      <c r="J114" s="168"/>
      <c r="K114" s="168"/>
    </row>
    <row r="115" spans="4:11" x14ac:dyDescent="0.2">
      <c r="D115" s="168"/>
      <c r="E115" s="167"/>
      <c r="F115" s="168"/>
      <c r="G115" s="168"/>
      <c r="H115" s="169"/>
      <c r="I115" s="169"/>
      <c r="J115" s="168"/>
      <c r="K115" s="168"/>
    </row>
    <row r="116" spans="4:11" x14ac:dyDescent="0.2">
      <c r="D116" s="168"/>
      <c r="E116" s="167"/>
      <c r="F116" s="168"/>
      <c r="G116" s="168"/>
      <c r="H116" s="169"/>
      <c r="I116" s="169"/>
      <c r="J116" s="168"/>
      <c r="K116" s="168"/>
    </row>
    <row r="117" spans="4:11" x14ac:dyDescent="0.2">
      <c r="D117" s="168"/>
      <c r="E117" s="167"/>
      <c r="F117" s="168"/>
      <c r="G117" s="168"/>
      <c r="H117" s="169"/>
      <c r="I117" s="169"/>
      <c r="J117" s="168"/>
      <c r="K117" s="168"/>
    </row>
    <row r="118" spans="4:11" x14ac:dyDescent="0.2">
      <c r="D118" s="168"/>
      <c r="E118" s="167"/>
      <c r="F118" s="168"/>
      <c r="G118" s="168"/>
      <c r="H118" s="169"/>
      <c r="I118" s="169"/>
      <c r="J118" s="168"/>
      <c r="K118" s="168"/>
    </row>
    <row r="119" spans="4:11" x14ac:dyDescent="0.2">
      <c r="D119" s="168"/>
      <c r="E119" s="167"/>
      <c r="F119" s="168"/>
      <c r="G119" s="168"/>
      <c r="H119" s="169"/>
      <c r="I119" s="169"/>
      <c r="J119" s="168"/>
      <c r="K119" s="168"/>
    </row>
    <row r="120" spans="4:11" x14ac:dyDescent="0.2">
      <c r="D120" s="168"/>
      <c r="E120" s="167"/>
      <c r="F120" s="168"/>
      <c r="G120" s="168"/>
      <c r="H120" s="169"/>
      <c r="I120" s="169"/>
      <c r="J120" s="168"/>
      <c r="K120" s="168"/>
    </row>
    <row r="121" spans="4:11" x14ac:dyDescent="0.2">
      <c r="D121" s="168"/>
      <c r="E121" s="167"/>
      <c r="F121" s="168"/>
      <c r="G121" s="168"/>
      <c r="H121" s="169"/>
      <c r="I121" s="169"/>
      <c r="J121" s="168"/>
      <c r="K121" s="168"/>
    </row>
    <row r="122" spans="4:11" x14ac:dyDescent="0.2">
      <c r="D122" s="168"/>
      <c r="E122" s="167"/>
      <c r="F122" s="168"/>
      <c r="G122" s="168"/>
      <c r="H122" s="169"/>
      <c r="I122" s="169"/>
      <c r="J122" s="168"/>
      <c r="K122" s="168"/>
    </row>
    <row r="123" spans="4:11" x14ac:dyDescent="0.2">
      <c r="D123" s="168"/>
      <c r="E123" s="167"/>
      <c r="F123" s="168"/>
      <c r="G123" s="168"/>
      <c r="H123" s="169"/>
      <c r="I123" s="169"/>
      <c r="J123" s="168"/>
      <c r="K123" s="168"/>
    </row>
    <row r="124" spans="4:11" x14ac:dyDescent="0.2">
      <c r="D124" s="168"/>
      <c r="E124" s="167"/>
      <c r="F124" s="168"/>
      <c r="G124" s="168"/>
      <c r="H124" s="169"/>
      <c r="I124" s="169"/>
      <c r="J124" s="168"/>
      <c r="K124" s="168"/>
    </row>
    <row r="128" spans="4:11" x14ac:dyDescent="0.2">
      <c r="H128" s="167"/>
      <c r="I128" s="167"/>
    </row>
    <row r="129" spans="4:12" x14ac:dyDescent="0.2">
      <c r="D129" s="167"/>
      <c r="E129" s="167"/>
    </row>
    <row r="130" spans="4:12" x14ac:dyDescent="0.2">
      <c r="D130" s="167"/>
      <c r="E130" s="167"/>
      <c r="F130" s="167"/>
      <c r="G130" s="167"/>
      <c r="H130" s="167"/>
      <c r="I130" s="167"/>
      <c r="J130" s="167"/>
      <c r="K130" s="167"/>
    </row>
    <row r="131" spans="4:12" x14ac:dyDescent="0.2">
      <c r="L131" s="167"/>
    </row>
    <row r="132" spans="4:12" x14ac:dyDescent="0.2">
      <c r="F132" s="167"/>
      <c r="G132" s="167"/>
    </row>
    <row r="134" spans="4:12" x14ac:dyDescent="0.2">
      <c r="D134" s="168"/>
      <c r="F134" s="168"/>
      <c r="G134" s="168"/>
      <c r="H134" s="169"/>
      <c r="I134" s="169"/>
      <c r="J134" s="168"/>
      <c r="K134" s="168"/>
    </row>
    <row r="135" spans="4:12" x14ac:dyDescent="0.2">
      <c r="D135" s="168"/>
      <c r="E135" s="167"/>
      <c r="F135" s="168"/>
      <c r="G135" s="168"/>
      <c r="H135" s="169"/>
      <c r="I135" s="169"/>
      <c r="J135" s="168"/>
      <c r="K135" s="168"/>
    </row>
    <row r="136" spans="4:12" x14ac:dyDescent="0.2">
      <c r="D136" s="168"/>
      <c r="E136" s="167"/>
      <c r="F136" s="168"/>
      <c r="G136" s="168"/>
      <c r="H136" s="169"/>
      <c r="I136" s="169"/>
      <c r="J136" s="168"/>
      <c r="K136" s="168"/>
    </row>
    <row r="137" spans="4:12" x14ac:dyDescent="0.2">
      <c r="D137" s="168"/>
      <c r="E137" s="167"/>
      <c r="F137" s="168"/>
      <c r="G137" s="168"/>
      <c r="H137" s="169"/>
      <c r="I137" s="169"/>
      <c r="J137" s="168"/>
      <c r="K137" s="168"/>
    </row>
    <row r="138" spans="4:12" x14ac:dyDescent="0.2">
      <c r="D138" s="168"/>
      <c r="E138" s="167"/>
      <c r="F138" s="168"/>
      <c r="G138" s="168"/>
      <c r="H138" s="169"/>
      <c r="I138" s="169"/>
      <c r="J138" s="168"/>
      <c r="K138" s="168"/>
    </row>
    <row r="139" spans="4:12" x14ac:dyDescent="0.2">
      <c r="D139" s="168"/>
      <c r="E139" s="167"/>
      <c r="F139" s="168"/>
      <c r="G139" s="168"/>
      <c r="H139" s="169"/>
      <c r="I139" s="169"/>
      <c r="J139" s="168"/>
      <c r="K139" s="168"/>
    </row>
    <row r="140" spans="4:12" x14ac:dyDescent="0.2">
      <c r="D140" s="168"/>
      <c r="E140" s="167"/>
      <c r="F140" s="168"/>
      <c r="G140" s="168"/>
      <c r="H140" s="169"/>
      <c r="I140" s="169"/>
      <c r="J140" s="168"/>
      <c r="K140" s="168"/>
    </row>
    <row r="141" spans="4:12" x14ac:dyDescent="0.2">
      <c r="D141" s="168"/>
      <c r="E141" s="167"/>
      <c r="F141" s="168"/>
      <c r="G141" s="168"/>
      <c r="H141" s="169"/>
      <c r="I141" s="169"/>
      <c r="J141" s="168"/>
      <c r="K141" s="168"/>
    </row>
    <row r="142" spans="4:12" x14ac:dyDescent="0.2">
      <c r="D142" s="168"/>
      <c r="E142" s="167"/>
      <c r="F142" s="168"/>
      <c r="G142" s="168"/>
      <c r="H142" s="169"/>
      <c r="I142" s="169"/>
      <c r="J142" s="168"/>
      <c r="K142" s="168"/>
    </row>
    <row r="143" spans="4:12" x14ac:dyDescent="0.2">
      <c r="D143" s="168"/>
      <c r="E143" s="167"/>
      <c r="F143" s="168"/>
      <c r="G143" s="168"/>
      <c r="H143" s="169"/>
      <c r="I143" s="169"/>
      <c r="J143" s="168"/>
      <c r="K143" s="168"/>
    </row>
    <row r="144" spans="4:12" x14ac:dyDescent="0.2">
      <c r="D144" s="168"/>
      <c r="E144" s="167"/>
      <c r="F144" s="168"/>
      <c r="G144" s="168"/>
      <c r="H144" s="169"/>
      <c r="I144" s="169"/>
      <c r="J144" s="168"/>
      <c r="K144" s="168"/>
    </row>
  </sheetData>
  <mergeCells count="13">
    <mergeCell ref="J41:K41"/>
    <mergeCell ref="G33:H33"/>
    <mergeCell ref="K36:L36"/>
    <mergeCell ref="G37:H37"/>
    <mergeCell ref="K37:L37"/>
    <mergeCell ref="H40:I40"/>
    <mergeCell ref="J40:K40"/>
    <mergeCell ref="K15:L15"/>
    <mergeCell ref="F2:K2"/>
    <mergeCell ref="A4:K4"/>
    <mergeCell ref="F6:J6"/>
    <mergeCell ref="K10:L12"/>
    <mergeCell ref="K13:L13"/>
  </mergeCells>
  <printOptions horizontalCentered="1" verticalCentered="1"/>
  <pageMargins left="0" right="0" top="0.55118110236220474" bottom="0.55118110236220474" header="0.31496062992125984" footer="0.31496062992125984"/>
  <pageSetup paperSize="9" scale="74" orientation="landscape" r:id="rId1"/>
  <headerFooter>
    <oddHeader>&amp;LUDOGEC Vendée
Service RHGFI Pôle paye&amp;C &amp;ROutil de gestion prévisionnelle</oddHeader>
    <oddFooter>&amp;LPaye OGEC 1er degré&amp;CSous réserve des évolutions de la valeur du point, du SMIC, des taux et des réductions générales de cotisations&amp;R&amp;A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E457-0F10-4C57-902E-452B935B99AD}">
  <sheetPr>
    <tabColor theme="7" tint="0.59999389629810485"/>
    <pageSetUpPr fitToPage="1"/>
  </sheetPr>
  <dimension ref="A1:Q143"/>
  <sheetViews>
    <sheetView topLeftCell="A8" workbookViewId="0">
      <selection activeCell="G20" sqref="G20"/>
    </sheetView>
  </sheetViews>
  <sheetFormatPr baseColWidth="10" defaultColWidth="8" defaultRowHeight="12" x14ac:dyDescent="0.2"/>
  <cols>
    <col min="1" max="1" width="12.7109375" style="2" bestFit="1" customWidth="1"/>
    <col min="2" max="2" width="16" style="2" customWidth="1"/>
    <col min="3" max="3" width="14.85546875" style="2" customWidth="1"/>
    <col min="4" max="4" width="15.85546875" style="2" customWidth="1"/>
    <col min="5" max="5" width="9.85546875" style="2" customWidth="1"/>
    <col min="6" max="6" width="10.140625" style="2" customWidth="1"/>
    <col min="7" max="7" width="13.28515625" style="2" customWidth="1"/>
    <col min="8" max="8" width="7.7109375" style="2" customWidth="1"/>
    <col min="9" max="9" width="9.7109375" style="2" customWidth="1"/>
    <col min="10" max="10" width="7.7109375" style="2" customWidth="1"/>
    <col min="11" max="11" width="10.140625" style="2" customWidth="1"/>
    <col min="12" max="12" width="6.28515625" style="2" customWidth="1"/>
    <col min="13" max="14" width="8" style="2"/>
    <col min="15" max="15" width="10.42578125" style="2" bestFit="1" customWidth="1"/>
    <col min="16" max="16" width="8" style="2"/>
    <col min="17" max="17" width="10.42578125" style="2" bestFit="1" customWidth="1"/>
    <col min="18" max="16384" width="8" style="2"/>
  </cols>
  <sheetData>
    <row r="1" spans="1:17" ht="9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22.5" customHeight="1" thickBot="1" x14ac:dyDescent="0.35">
      <c r="A2" s="3"/>
      <c r="B2" s="1"/>
      <c r="C2" s="1"/>
      <c r="D2" s="1"/>
      <c r="E2" s="4" t="s">
        <v>0</v>
      </c>
      <c r="F2" s="219"/>
      <c r="G2" s="220"/>
      <c r="H2" s="220"/>
      <c r="I2" s="220"/>
      <c r="J2" s="220"/>
      <c r="K2" s="221"/>
      <c r="L2" s="1"/>
    </row>
    <row r="3" spans="1:17" ht="6.75" customHeight="1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7.25" customHeight="1" x14ac:dyDescent="0.3">
      <c r="A4" s="222" t="s">
        <v>51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"/>
    </row>
    <row r="5" spans="1:17" ht="6" customHeight="1" thickBot="1" x14ac:dyDescent="0.3">
      <c r="A5" s="6"/>
      <c r="B5" s="5"/>
      <c r="C5" s="5"/>
      <c r="D5" s="5"/>
      <c r="E5" s="7"/>
      <c r="F5" s="8"/>
      <c r="G5" s="9"/>
      <c r="H5" s="5"/>
      <c r="I5" s="1"/>
      <c r="J5" s="1"/>
      <c r="K5" s="1"/>
      <c r="L5" s="1"/>
    </row>
    <row r="6" spans="1:17" ht="21" customHeight="1" thickBot="1" x14ac:dyDescent="0.3">
      <c r="A6" s="10" t="s">
        <v>2</v>
      </c>
      <c r="B6" s="5"/>
      <c r="C6" s="5"/>
      <c r="D6" s="7" t="s">
        <v>3</v>
      </c>
      <c r="E6" s="8"/>
      <c r="F6" s="253"/>
      <c r="G6" s="254"/>
      <c r="H6" s="254"/>
      <c r="I6" s="254"/>
      <c r="J6" s="255"/>
      <c r="K6" s="1"/>
      <c r="L6" s="1"/>
    </row>
    <row r="7" spans="1:17" ht="7.5" customHeight="1" x14ac:dyDescent="0.2">
      <c r="A7" s="1"/>
      <c r="B7" s="1"/>
      <c r="C7" s="1"/>
      <c r="D7" s="1"/>
      <c r="E7" s="1"/>
      <c r="F7" s="1"/>
      <c r="G7" s="11"/>
      <c r="H7" s="12"/>
      <c r="I7" s="1"/>
      <c r="J7" s="13"/>
      <c r="K7" s="14"/>
      <c r="L7" s="15"/>
    </row>
    <row r="8" spans="1:17" s="17" customFormat="1" ht="18" customHeight="1" x14ac:dyDescent="0.25">
      <c r="A8" s="10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P8" s="18"/>
    </row>
    <row r="9" spans="1:17" x14ac:dyDescent="0.2">
      <c r="A9" s="1"/>
      <c r="B9" s="1"/>
      <c r="C9" s="1"/>
      <c r="D9" s="1"/>
      <c r="E9" s="1"/>
      <c r="F9" s="1"/>
      <c r="G9" s="11"/>
      <c r="H9" s="12"/>
      <c r="I9" s="1"/>
      <c r="J9" s="13"/>
      <c r="K9" s="14"/>
      <c r="L9" s="15"/>
    </row>
    <row r="10" spans="1:17" ht="15.75" customHeight="1" x14ac:dyDescent="0.25">
      <c r="A10" s="19" t="s">
        <v>5</v>
      </c>
      <c r="B10" s="20"/>
      <c r="C10" s="20"/>
      <c r="D10" s="20"/>
      <c r="E10" s="21" t="s">
        <v>6</v>
      </c>
      <c r="F10" s="22"/>
      <c r="G10" s="23" t="s">
        <v>7</v>
      </c>
      <c r="H10" s="24"/>
      <c r="I10" s="1"/>
      <c r="J10" s="13"/>
      <c r="K10" s="226" t="s">
        <v>8</v>
      </c>
      <c r="L10" s="226"/>
    </row>
    <row r="11" spans="1:17" ht="15.75" customHeight="1" x14ac:dyDescent="0.25">
      <c r="A11" s="209">
        <v>44835</v>
      </c>
      <c r="B11" s="25"/>
      <c r="C11" s="25"/>
      <c r="D11" s="25"/>
      <c r="E11" s="26">
        <v>18.79</v>
      </c>
      <c r="F11" s="27">
        <f>E11/12</f>
        <v>1.5658333333333332</v>
      </c>
      <c r="G11" s="28">
        <f>ROUND(E11/12,3)</f>
        <v>1.5660000000000001</v>
      </c>
      <c r="H11" s="29" t="s">
        <v>9</v>
      </c>
      <c r="I11" s="1"/>
      <c r="J11" s="13"/>
      <c r="K11" s="226"/>
      <c r="L11" s="226"/>
    </row>
    <row r="12" spans="1:17" ht="9" customHeight="1" x14ac:dyDescent="0.25">
      <c r="A12" s="5"/>
      <c r="B12" s="5"/>
      <c r="C12" s="5"/>
      <c r="D12" s="5"/>
      <c r="E12" s="30"/>
      <c r="F12" s="8"/>
      <c r="G12" s="31"/>
      <c r="H12" s="5"/>
      <c r="I12" s="1"/>
      <c r="J12" s="13"/>
      <c r="K12" s="227"/>
      <c r="L12" s="227"/>
    </row>
    <row r="13" spans="1:17" ht="19.5" customHeight="1" x14ac:dyDescent="0.2">
      <c r="A13" s="32" t="s">
        <v>60</v>
      </c>
      <c r="B13" s="33"/>
      <c r="C13" s="33"/>
      <c r="D13" s="211">
        <v>11.07</v>
      </c>
      <c r="E13" s="34"/>
      <c r="F13" s="1"/>
      <c r="G13" s="11"/>
      <c r="H13" s="12"/>
      <c r="I13" s="1"/>
      <c r="J13" s="13"/>
      <c r="K13" s="256">
        <v>1565</v>
      </c>
      <c r="L13" s="257"/>
      <c r="Q13" s="35"/>
    </row>
    <row r="14" spans="1:17" ht="19.5" customHeight="1" x14ac:dyDescent="0.2">
      <c r="A14" s="207" t="s">
        <v>61</v>
      </c>
      <c r="B14" s="36"/>
      <c r="C14" s="36"/>
      <c r="D14" s="208">
        <f>1085*F11</f>
        <v>1698.9291666666666</v>
      </c>
      <c r="E14" s="34"/>
      <c r="F14" s="1"/>
      <c r="G14" s="11"/>
      <c r="H14" s="12"/>
      <c r="I14" s="1"/>
      <c r="J14" s="13"/>
      <c r="K14" s="14" t="s">
        <v>10</v>
      </c>
      <c r="L14" s="15"/>
    </row>
    <row r="15" spans="1:17" ht="21.75" customHeight="1" x14ac:dyDescent="0.25">
      <c r="A15" s="207" t="s">
        <v>59</v>
      </c>
      <c r="B15" s="37"/>
      <c r="C15" s="37"/>
      <c r="D15" s="210">
        <f>ROUND(D14/151.67,2)</f>
        <v>11.2</v>
      </c>
      <c r="E15" s="1"/>
      <c r="F15" s="1"/>
      <c r="G15" s="1"/>
      <c r="H15" s="1"/>
      <c r="I15" s="1"/>
      <c r="J15" s="1"/>
      <c r="K15" s="251">
        <f>K18/35*K13</f>
        <v>782.5</v>
      </c>
      <c r="L15" s="252"/>
    </row>
    <row r="16" spans="1:17" ht="18" customHeight="1" x14ac:dyDescent="0.2">
      <c r="A16" s="38" t="s">
        <v>54</v>
      </c>
      <c r="B16" s="39"/>
      <c r="C16" s="39"/>
      <c r="D16" s="40">
        <v>3428</v>
      </c>
      <c r="E16" s="1"/>
      <c r="F16" s="1"/>
      <c r="G16" s="1"/>
      <c r="H16" s="1"/>
      <c r="I16" s="1"/>
      <c r="J16" s="1"/>
      <c r="K16" s="41" t="s">
        <v>11</v>
      </c>
      <c r="L16" s="1"/>
      <c r="M16" s="1"/>
    </row>
    <row r="17" spans="1:17" ht="6" customHeight="1" thickBot="1" x14ac:dyDescent="0.25">
      <c r="A17" s="42"/>
      <c r="B17" s="43"/>
      <c r="C17" s="43"/>
      <c r="D17" s="44"/>
      <c r="E17" s="1"/>
      <c r="F17" s="1"/>
      <c r="G17" s="1"/>
      <c r="H17" s="1"/>
      <c r="I17" s="1"/>
      <c r="J17" s="1"/>
      <c r="K17" s="45"/>
      <c r="L17" s="1"/>
    </row>
    <row r="18" spans="1:17" s="17" customFormat="1" ht="21" customHeight="1" thickTop="1" thickBot="1" x14ac:dyDescent="0.3">
      <c r="A18" s="10" t="s">
        <v>12</v>
      </c>
      <c r="B18" s="16"/>
      <c r="C18" s="16"/>
      <c r="D18" s="46"/>
      <c r="E18" s="170">
        <v>1085</v>
      </c>
      <c r="F18" s="48" t="s">
        <v>13</v>
      </c>
      <c r="G18" s="16"/>
      <c r="H18" s="16"/>
      <c r="I18" s="16"/>
      <c r="J18" s="34" t="s">
        <v>14</v>
      </c>
      <c r="K18" s="49">
        <f>ROUND(G20/52*12,2)</f>
        <v>17.5</v>
      </c>
      <c r="L18" s="50" t="s">
        <v>15</v>
      </c>
    </row>
    <row r="19" spans="1:17" ht="13.5" thickTop="1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51"/>
      <c r="K19" s="52" t="s">
        <v>16</v>
      </c>
      <c r="L19" s="1"/>
    </row>
    <row r="20" spans="1:17" ht="21" customHeight="1" thickTop="1" thickBot="1" x14ac:dyDescent="0.25">
      <c r="A20" s="53" t="s">
        <v>17</v>
      </c>
      <c r="B20" s="11"/>
      <c r="C20" s="11"/>
      <c r="D20" s="11"/>
      <c r="E20" s="1"/>
      <c r="F20" s="54"/>
      <c r="G20" s="171">
        <v>75.83</v>
      </c>
      <c r="H20" s="172" t="s">
        <v>18</v>
      </c>
      <c r="I20" s="170"/>
      <c r="J20" s="58"/>
      <c r="K20" s="1"/>
      <c r="L20" s="1"/>
    </row>
    <row r="21" spans="1:17" s="17" customFormat="1" ht="21" customHeight="1" thickTop="1" thickBot="1" x14ac:dyDescent="0.3">
      <c r="A21" s="59" t="s">
        <v>19</v>
      </c>
      <c r="B21" s="60"/>
      <c r="C21" s="60"/>
      <c r="D21" s="60"/>
      <c r="E21" s="60"/>
      <c r="F21" s="60"/>
      <c r="G21" s="61">
        <f>ROUND(E18*$G$11,2)*G20/151.67</f>
        <v>849.49898661567875</v>
      </c>
      <c r="H21" s="62" t="s">
        <v>9</v>
      </c>
      <c r="I21" s="63"/>
      <c r="J21" s="64" t="s">
        <v>20</v>
      </c>
      <c r="K21" s="65">
        <f>G21/G20</f>
        <v>11.202676864244742</v>
      </c>
      <c r="L21" s="16"/>
    </row>
    <row r="22" spans="1:17" s="17" customFormat="1" ht="17.25" customHeight="1" thickBot="1" x14ac:dyDescent="0.3">
      <c r="A22" s="70" t="s">
        <v>22</v>
      </c>
      <c r="B22" s="71"/>
      <c r="C22" s="71"/>
      <c r="D22" s="66"/>
      <c r="E22" s="72">
        <v>0</v>
      </c>
      <c r="F22" s="73">
        <v>5</v>
      </c>
      <c r="G22" s="74">
        <f>E22*F22</f>
        <v>0</v>
      </c>
      <c r="H22" s="75" t="s">
        <v>9</v>
      </c>
      <c r="I22" s="71"/>
      <c r="J22" s="76" t="s">
        <v>20</v>
      </c>
      <c r="K22" s="77">
        <f>G22/G20</f>
        <v>0</v>
      </c>
      <c r="L22" s="16"/>
    </row>
    <row r="23" spans="1:17" s="69" customFormat="1" ht="20.25" customHeight="1" thickBot="1" x14ac:dyDescent="0.3">
      <c r="A23" s="205" t="s">
        <v>21</v>
      </c>
      <c r="B23" s="203"/>
      <c r="C23" s="203"/>
      <c r="D23" s="212"/>
      <c r="E23" s="212"/>
      <c r="F23" s="213"/>
      <c r="G23" s="204">
        <f>IF((K21+K22)&lt;D13,(G20*D13)-(G21+G22),0)</f>
        <v>0</v>
      </c>
      <c r="H23" s="214" t="s">
        <v>9</v>
      </c>
      <c r="I23" s="212"/>
      <c r="J23" s="215"/>
      <c r="K23" s="216">
        <f>G23/G20</f>
        <v>0</v>
      </c>
      <c r="L23" s="66"/>
    </row>
    <row r="24" spans="1:17" ht="17.25" customHeight="1" thickBot="1" x14ac:dyDescent="0.25">
      <c r="A24" s="54" t="s">
        <v>24</v>
      </c>
      <c r="B24" s="1"/>
      <c r="C24" s="1"/>
      <c r="D24" s="1"/>
      <c r="E24" s="173">
        <v>0</v>
      </c>
      <c r="F24" s="1"/>
      <c r="G24" s="87">
        <f>ROUND(E24*G11*G20/151.67,2)</f>
        <v>0</v>
      </c>
      <c r="H24" s="88" t="s">
        <v>9</v>
      </c>
      <c r="I24" s="71"/>
      <c r="J24" s="76" t="s">
        <v>23</v>
      </c>
      <c r="K24" s="89">
        <f>G24/G20</f>
        <v>0</v>
      </c>
      <c r="L24" s="1"/>
    </row>
    <row r="25" spans="1:17" s="17" customFormat="1" ht="21" customHeight="1" thickBot="1" x14ac:dyDescent="0.3">
      <c r="A25" s="174" t="s">
        <v>25</v>
      </c>
      <c r="B25" s="175"/>
      <c r="C25" s="175"/>
      <c r="D25" s="175"/>
      <c r="E25" s="175"/>
      <c r="F25" s="176" t="s">
        <v>26</v>
      </c>
      <c r="G25" s="177">
        <f>SUM(G21:G24)</f>
        <v>849.49898661567875</v>
      </c>
      <c r="H25" s="178" t="s">
        <v>9</v>
      </c>
      <c r="I25" s="179"/>
      <c r="J25" s="180" t="s">
        <v>27</v>
      </c>
      <c r="K25" s="181">
        <f>G25/G20</f>
        <v>11.202676864244742</v>
      </c>
      <c r="L25" s="182"/>
    </row>
    <row r="26" spans="1:17" s="17" customFormat="1" ht="5.25" customHeight="1" x14ac:dyDescent="0.25">
      <c r="A26" s="10"/>
      <c r="B26" s="53"/>
      <c r="C26" s="53"/>
      <c r="D26" s="53"/>
      <c r="E26" s="99"/>
      <c r="F26" s="100"/>
      <c r="G26" s="101"/>
      <c r="H26" s="102"/>
      <c r="I26" s="16"/>
      <c r="J26" s="103"/>
      <c r="K26" s="104"/>
      <c r="L26" s="105"/>
    </row>
    <row r="27" spans="1:17" ht="21" customHeight="1" thickBot="1" x14ac:dyDescent="0.25">
      <c r="A27" s="70" t="s">
        <v>55</v>
      </c>
      <c r="B27" s="1"/>
      <c r="C27" s="1"/>
      <c r="D27" s="51"/>
      <c r="E27" s="106">
        <f>(7+8.55+1.9+3.45+0.3+1.26+0.1+0.016+4.05+0.15+6.1+1.29+1.35+0.55+0.3)%</f>
        <v>0.36365999999999993</v>
      </c>
      <c r="F27" s="1"/>
      <c r="G27" s="107">
        <f>ROUND(G25*E27,2)</f>
        <v>308.93</v>
      </c>
      <c r="H27" s="1"/>
      <c r="I27" s="1"/>
      <c r="J27" s="108"/>
      <c r="K27" s="183"/>
      <c r="L27" s="1"/>
    </row>
    <row r="28" spans="1:17" ht="21" customHeight="1" thickBot="1" x14ac:dyDescent="0.25">
      <c r="A28" s="70" t="s">
        <v>28</v>
      </c>
      <c r="B28" s="1"/>
      <c r="C28" s="1"/>
      <c r="D28" s="184" t="s">
        <v>29</v>
      </c>
      <c r="F28" s="185">
        <f>IF(D28="AFF",41.3,0)</f>
        <v>41.3</v>
      </c>
      <c r="G28" s="107">
        <f>F28*0.5</f>
        <v>20.65</v>
      </c>
      <c r="H28" s="1"/>
      <c r="I28" s="1"/>
      <c r="J28" s="1"/>
      <c r="K28" s="112">
        <f>-(F28*0.5*1.097)</f>
        <v>-22.653049999999997</v>
      </c>
      <c r="L28" s="1"/>
    </row>
    <row r="29" spans="1:17" ht="21" customHeight="1" x14ac:dyDescent="0.2">
      <c r="A29" s="54" t="s">
        <v>30</v>
      </c>
      <c r="B29" s="1"/>
      <c r="C29" s="1"/>
      <c r="D29" s="1"/>
      <c r="E29" s="113">
        <f>ROUND(IF(-(0.3195/0.6)*((1.6*(G20*D13)/G25)-1)&gt;0,0,-(0.3195/0.6)*((1.6*(G20*D13)/G25)-1)),4)</f>
        <v>-0.30940000000000001</v>
      </c>
      <c r="F29" s="1"/>
      <c r="G29" s="107">
        <f>+G25*E29</f>
        <v>-262.83498645889102</v>
      </c>
      <c r="H29" s="1"/>
      <c r="I29" s="114"/>
      <c r="J29" s="108" t="s">
        <v>31</v>
      </c>
      <c r="K29" s="183">
        <f>G25*0.77918+K28</f>
        <v>639.25957039120453</v>
      </c>
      <c r="L29" s="115"/>
      <c r="Q29" s="116"/>
    </row>
    <row r="30" spans="1:17" s="69" customFormat="1" ht="6" customHeight="1" x14ac:dyDescent="0.25">
      <c r="A30" s="117"/>
      <c r="B30" s="66"/>
      <c r="C30" s="66"/>
      <c r="D30" s="66"/>
      <c r="E30" s="66"/>
      <c r="F30" s="67"/>
      <c r="G30" s="118"/>
      <c r="H30" s="119"/>
      <c r="I30" s="66"/>
      <c r="J30" s="68"/>
      <c r="K30" s="120"/>
      <c r="L30" s="121"/>
    </row>
    <row r="31" spans="1:17" ht="21" customHeight="1" thickBot="1" x14ac:dyDescent="0.25">
      <c r="A31" s="186" t="s">
        <v>32</v>
      </c>
      <c r="B31" s="187"/>
      <c r="C31" s="187"/>
      <c r="D31" s="187"/>
      <c r="E31" s="188">
        <f>SUM(E27:E29)</f>
        <v>5.4259999999999919E-2</v>
      </c>
      <c r="F31" s="189"/>
      <c r="G31" s="190">
        <f>SUM(G27:G29)</f>
        <v>66.74501354110896</v>
      </c>
      <c r="H31" s="178" t="s">
        <v>9</v>
      </c>
      <c r="I31" s="189"/>
      <c r="J31" s="189"/>
      <c r="K31" s="189"/>
      <c r="L31" s="189"/>
    </row>
    <row r="32" spans="1:17" s="17" customFormat="1" ht="21" customHeight="1" thickBot="1" x14ac:dyDescent="0.3">
      <c r="A32" s="191" t="s">
        <v>33</v>
      </c>
      <c r="B32" s="192"/>
      <c r="C32" s="16"/>
      <c r="D32" s="16"/>
      <c r="E32" s="16"/>
      <c r="F32" s="16"/>
      <c r="G32" s="245">
        <f>G25+G31</f>
        <v>916.24400015678771</v>
      </c>
      <c r="H32" s="246"/>
      <c r="I32" s="129" t="s">
        <v>34</v>
      </c>
      <c r="J32" s="130"/>
      <c r="K32" s="16"/>
      <c r="L32" s="16"/>
      <c r="O32" s="131"/>
    </row>
    <row r="33" spans="1:12" s="17" customFormat="1" ht="18.75" customHeight="1" x14ac:dyDescent="0.25">
      <c r="A33" s="132" t="s">
        <v>35</v>
      </c>
      <c r="B33" s="71"/>
      <c r="C33" s="71"/>
      <c r="D33" s="16"/>
      <c r="E33" s="133">
        <f>E22</f>
        <v>0</v>
      </c>
      <c r="F33" s="134">
        <f>-F22</f>
        <v>-5</v>
      </c>
      <c r="G33" s="135">
        <f>E33*F33</f>
        <v>0</v>
      </c>
      <c r="H33" s="136" t="s">
        <v>9</v>
      </c>
      <c r="I33" s="193"/>
      <c r="J33" s="194" t="s">
        <v>36</v>
      </c>
      <c r="K33" s="195">
        <f>K29+G33</f>
        <v>639.25957039120453</v>
      </c>
      <c r="L33" s="196" t="s">
        <v>37</v>
      </c>
    </row>
    <row r="34" spans="1:12" s="17" customFormat="1" ht="7.5" customHeight="1" x14ac:dyDescent="0.25">
      <c r="A34" s="132"/>
      <c r="B34" s="71"/>
      <c r="C34" s="71"/>
      <c r="D34" s="16"/>
      <c r="E34" s="141"/>
      <c r="F34" s="142"/>
      <c r="G34" s="74"/>
      <c r="H34" s="75"/>
      <c r="I34" s="71"/>
      <c r="J34" s="76"/>
      <c r="K34" s="143"/>
      <c r="L34" s="115"/>
    </row>
    <row r="35" spans="1:12" ht="14.25" customHeight="1" thickBot="1" x14ac:dyDescent="0.25">
      <c r="B35" s="45"/>
      <c r="C35" s="11"/>
      <c r="D35" s="1"/>
      <c r="E35" s="144"/>
      <c r="F35" s="11"/>
      <c r="G35" s="1"/>
      <c r="H35" s="1"/>
      <c r="I35" s="1"/>
      <c r="J35" s="145"/>
      <c r="K35" s="234" t="s">
        <v>38</v>
      </c>
      <c r="L35" s="235"/>
    </row>
    <row r="36" spans="1:12" s="17" customFormat="1" ht="21" customHeight="1" thickBot="1" x14ac:dyDescent="0.25">
      <c r="A36" s="146">
        <f>K18/35</f>
        <v>0.5</v>
      </c>
      <c r="B36" s="10" t="s">
        <v>39</v>
      </c>
      <c r="C36" s="10"/>
      <c r="D36" s="16"/>
      <c r="E36" s="197"/>
      <c r="F36" s="198" t="s">
        <v>40</v>
      </c>
      <c r="G36" s="247">
        <f>(G32*12)+G33*11.667</f>
        <v>10994.928001881453</v>
      </c>
      <c r="H36" s="247"/>
      <c r="I36" s="199" t="s">
        <v>41</v>
      </c>
      <c r="J36" s="16"/>
      <c r="K36" s="237">
        <f>G36/(G20*12)</f>
        <v>12.082869578752311</v>
      </c>
      <c r="L36" s="248"/>
    </row>
    <row r="37" spans="1:12" ht="15" customHeight="1" thickBot="1" x14ac:dyDescent="0.25">
      <c r="A37" s="150" t="s">
        <v>52</v>
      </c>
      <c r="B37" s="1"/>
      <c r="C37" s="1"/>
      <c r="D37" s="1"/>
      <c r="E37" s="1"/>
      <c r="F37" s="1"/>
      <c r="G37" s="11"/>
      <c r="H37" s="12"/>
      <c r="I37" s="1"/>
      <c r="J37" s="13" t="s">
        <v>43</v>
      </c>
      <c r="K37" s="151">
        <f>K36*151.67*12</f>
        <v>21991.305948112353</v>
      </c>
      <c r="L37" s="15"/>
    </row>
    <row r="38" spans="1:12" ht="18.75" customHeight="1" thickBot="1" x14ac:dyDescent="0.25">
      <c r="A38" s="1"/>
      <c r="B38" s="200">
        <f>G36/(A36*K13)</f>
        <v>14.051026200487481</v>
      </c>
      <c r="C38" s="1"/>
      <c r="D38" s="1"/>
      <c r="E38" s="1"/>
      <c r="F38" s="1"/>
      <c r="G38" s="11"/>
      <c r="H38" s="12"/>
      <c r="I38" s="1"/>
      <c r="J38" s="13"/>
      <c r="K38" s="151"/>
      <c r="L38" s="15"/>
    </row>
    <row r="39" spans="1:12" ht="21" customHeight="1" thickBot="1" x14ac:dyDescent="0.25">
      <c r="B39" s="1"/>
      <c r="C39" s="1"/>
      <c r="D39" s="1"/>
      <c r="E39" s="153" t="s">
        <v>44</v>
      </c>
      <c r="F39" s="154" t="s">
        <v>45</v>
      </c>
      <c r="G39" s="201">
        <f>G25*12</f>
        <v>10193.987839388144</v>
      </c>
      <c r="H39" s="239" t="s">
        <v>57</v>
      </c>
      <c r="I39" s="240"/>
      <c r="J39" s="249">
        <f>G39*0.12*1.36366</f>
        <v>1668.1360148472047</v>
      </c>
      <c r="K39" s="250"/>
      <c r="L39" s="15"/>
    </row>
    <row r="40" spans="1:12" ht="21" customHeight="1" thickBot="1" x14ac:dyDescent="0.3">
      <c r="A40" s="156"/>
      <c r="B40" s="1"/>
      <c r="C40" s="1"/>
      <c r="D40" s="1"/>
      <c r="E40" s="1"/>
      <c r="F40" s="1"/>
      <c r="G40" s="11"/>
      <c r="H40" s="157" t="s">
        <v>46</v>
      </c>
      <c r="I40" s="1" t="s">
        <v>26</v>
      </c>
      <c r="J40" s="243">
        <f>+G36+J39</f>
        <v>12663.064016728658</v>
      </c>
      <c r="K40" s="244"/>
      <c r="L40" s="15"/>
    </row>
    <row r="41" spans="1:12" s="17" customFormat="1" ht="17.25" customHeight="1" x14ac:dyDescent="0.25">
      <c r="A41" s="206" t="s">
        <v>53</v>
      </c>
      <c r="B41" s="16"/>
      <c r="C41" s="34"/>
      <c r="D41" s="158"/>
      <c r="E41" s="16"/>
      <c r="F41" s="16"/>
      <c r="G41" s="159"/>
      <c r="H41" s="160" t="s">
        <v>47</v>
      </c>
      <c r="I41" s="16"/>
      <c r="J41" s="202"/>
      <c r="K41" s="202"/>
      <c r="L41" s="162"/>
    </row>
    <row r="42" spans="1:12" x14ac:dyDescent="0.2">
      <c r="A42" s="5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63"/>
      <c r="L42" s="1"/>
    </row>
    <row r="43" spans="1:12" x14ac:dyDescent="0.2">
      <c r="A43" s="58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0.5" customHeight="1" x14ac:dyDescent="0.2">
      <c r="A44" s="164" t="s">
        <v>50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</row>
    <row r="45" spans="1:12" ht="7.5" customHeight="1" x14ac:dyDescent="0.2"/>
    <row r="46" spans="1:12" x14ac:dyDescent="0.2">
      <c r="D46" s="166"/>
    </row>
    <row r="47" spans="1:12" ht="12.75" customHeight="1" x14ac:dyDescent="0.2"/>
    <row r="48" spans="1:12" ht="21.75" customHeight="1" x14ac:dyDescent="0.2">
      <c r="D48" s="167"/>
      <c r="E48" s="167"/>
      <c r="H48" s="167"/>
      <c r="I48" s="167"/>
    </row>
    <row r="49" spans="1:12" ht="15" customHeight="1" x14ac:dyDescent="0.2"/>
    <row r="50" spans="1:12" ht="13.5" customHeight="1" x14ac:dyDescent="0.2">
      <c r="D50" s="168"/>
      <c r="E50" s="167"/>
      <c r="F50" s="167"/>
      <c r="G50" s="167"/>
      <c r="H50" s="167"/>
      <c r="I50" s="167"/>
      <c r="J50" s="168"/>
      <c r="K50" s="168"/>
    </row>
    <row r="51" spans="1:12" ht="15.75" customHeight="1" x14ac:dyDescent="0.2">
      <c r="D51" s="168"/>
      <c r="E51" s="167"/>
      <c r="H51" s="167"/>
      <c r="I51" s="167"/>
      <c r="J51" s="167"/>
      <c r="K51" s="167"/>
    </row>
    <row r="52" spans="1:12" ht="13.5" customHeight="1" x14ac:dyDescent="0.2">
      <c r="D52" s="168"/>
      <c r="E52" s="167"/>
      <c r="H52" s="167"/>
      <c r="I52" s="167"/>
      <c r="J52" s="167"/>
      <c r="K52" s="167"/>
    </row>
    <row r="53" spans="1:12" ht="15" customHeight="1" x14ac:dyDescent="0.2">
      <c r="D53" s="168"/>
      <c r="E53" s="167"/>
      <c r="H53" s="167"/>
      <c r="I53" s="167"/>
      <c r="J53" s="167"/>
      <c r="K53" s="167"/>
    </row>
    <row r="54" spans="1:12" ht="15.75" customHeight="1" x14ac:dyDescent="0.2">
      <c r="D54" s="168"/>
      <c r="E54" s="167"/>
      <c r="F54" s="167"/>
      <c r="G54" s="167"/>
      <c r="J54" s="167"/>
      <c r="K54" s="167"/>
    </row>
    <row r="55" spans="1:12" ht="17.25" customHeight="1" x14ac:dyDescent="0.2">
      <c r="D55" s="168"/>
      <c r="E55" s="167"/>
      <c r="F55" s="167"/>
      <c r="G55" s="167"/>
      <c r="J55" s="167"/>
      <c r="K55" s="167"/>
    </row>
    <row r="56" spans="1:12" ht="14.25" customHeight="1" x14ac:dyDescent="0.2">
      <c r="D56" s="168"/>
      <c r="E56" s="167"/>
      <c r="F56" s="167"/>
      <c r="G56" s="167"/>
      <c r="J56" s="167"/>
      <c r="K56" s="167"/>
    </row>
    <row r="57" spans="1:12" x14ac:dyDescent="0.2">
      <c r="D57" s="168"/>
      <c r="E57" s="167"/>
      <c r="H57" s="167"/>
      <c r="I57" s="167"/>
      <c r="L57" s="169"/>
    </row>
    <row r="58" spans="1:12" x14ac:dyDescent="0.2">
      <c r="D58" s="168"/>
      <c r="E58" s="167"/>
      <c r="H58" s="167"/>
      <c r="I58" s="167"/>
      <c r="L58" s="169"/>
    </row>
    <row r="59" spans="1:12" ht="9" customHeight="1" x14ac:dyDescent="0.2">
      <c r="D59" s="168"/>
      <c r="E59" s="167"/>
      <c r="H59" s="167"/>
      <c r="I59" s="167"/>
    </row>
    <row r="60" spans="1:12" ht="4.5" customHeight="1" x14ac:dyDescent="0.2">
      <c r="D60" s="168"/>
      <c r="E60" s="167"/>
      <c r="F60" s="167"/>
      <c r="G60" s="167"/>
      <c r="H60" s="167"/>
      <c r="I60" s="167"/>
      <c r="J60" s="168"/>
      <c r="K60" s="168"/>
    </row>
    <row r="61" spans="1:12" s="17" customFormat="1" ht="2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7.5" customHeight="1" x14ac:dyDescent="0.2"/>
    <row r="64" spans="1:12" ht="18" customHeight="1" x14ac:dyDescent="0.2"/>
    <row r="65" spans="4:12" ht="14.25" customHeight="1" x14ac:dyDescent="0.2"/>
    <row r="66" spans="4:12" ht="24" customHeight="1" x14ac:dyDescent="0.2"/>
    <row r="68" spans="4:12" x14ac:dyDescent="0.2">
      <c r="D68" s="167"/>
      <c r="E68" s="167"/>
      <c r="H68" s="167"/>
      <c r="I68" s="167"/>
      <c r="J68" s="167"/>
      <c r="K68" s="167"/>
    </row>
    <row r="69" spans="4:12" x14ac:dyDescent="0.2">
      <c r="L69" s="169"/>
    </row>
    <row r="70" spans="4:12" x14ac:dyDescent="0.2">
      <c r="D70" s="168"/>
      <c r="E70" s="167"/>
      <c r="F70" s="168"/>
      <c r="G70" s="168"/>
      <c r="H70" s="169"/>
      <c r="I70" s="169"/>
      <c r="J70" s="168"/>
      <c r="K70" s="168"/>
      <c r="L70" s="169"/>
    </row>
    <row r="71" spans="4:12" x14ac:dyDescent="0.2">
      <c r="D71" s="168"/>
      <c r="E71" s="167"/>
      <c r="F71" s="168"/>
      <c r="G71" s="168"/>
      <c r="H71" s="169"/>
      <c r="I71" s="169"/>
      <c r="J71" s="168"/>
      <c r="K71" s="168"/>
    </row>
    <row r="72" spans="4:12" x14ac:dyDescent="0.2">
      <c r="D72" s="168"/>
      <c r="E72" s="167"/>
      <c r="F72" s="168"/>
      <c r="G72" s="168"/>
      <c r="H72" s="169"/>
      <c r="I72" s="169"/>
      <c r="J72" s="168"/>
      <c r="K72" s="168"/>
      <c r="L72" s="168"/>
    </row>
    <row r="73" spans="4:12" x14ac:dyDescent="0.2">
      <c r="D73" s="168"/>
      <c r="E73" s="167"/>
      <c r="H73" s="168"/>
      <c r="I73" s="168"/>
      <c r="J73" s="169"/>
      <c r="K73" s="169"/>
      <c r="L73" s="169"/>
    </row>
    <row r="74" spans="4:12" x14ac:dyDescent="0.2">
      <c r="D74" s="168"/>
      <c r="E74" s="167"/>
      <c r="H74" s="168"/>
      <c r="I74" s="168"/>
      <c r="J74" s="169"/>
      <c r="K74" s="169"/>
    </row>
    <row r="75" spans="4:12" x14ac:dyDescent="0.2">
      <c r="D75" s="168"/>
      <c r="E75" s="167"/>
      <c r="H75" s="168"/>
      <c r="I75" s="168"/>
      <c r="J75" s="169"/>
      <c r="K75" s="169"/>
    </row>
    <row r="82" spans="4:5" x14ac:dyDescent="0.2">
      <c r="D82" s="167"/>
      <c r="E82" s="167"/>
    </row>
    <row r="84" spans="4:5" x14ac:dyDescent="0.2">
      <c r="D84" s="167"/>
    </row>
    <row r="85" spans="4:5" x14ac:dyDescent="0.2">
      <c r="D85" s="167"/>
    </row>
    <row r="90" spans="4:5" x14ac:dyDescent="0.2">
      <c r="D90" s="167"/>
    </row>
    <row r="91" spans="4:5" x14ac:dyDescent="0.2">
      <c r="D91" s="167"/>
    </row>
    <row r="92" spans="4:5" x14ac:dyDescent="0.2">
      <c r="D92" s="167"/>
    </row>
    <row r="94" spans="4:5" x14ac:dyDescent="0.2">
      <c r="D94" s="167"/>
    </row>
    <row r="99" spans="4:12" x14ac:dyDescent="0.2">
      <c r="D99" s="167"/>
    </row>
    <row r="107" spans="4:12" x14ac:dyDescent="0.2">
      <c r="E107" s="167"/>
    </row>
    <row r="108" spans="4:12" x14ac:dyDescent="0.2">
      <c r="D108" s="167"/>
    </row>
    <row r="110" spans="4:12" x14ac:dyDescent="0.2">
      <c r="F110" s="167"/>
      <c r="G110" s="167"/>
      <c r="H110" s="167"/>
      <c r="I110" s="167"/>
      <c r="J110" s="167"/>
      <c r="K110" s="167"/>
      <c r="L110" s="167"/>
    </row>
    <row r="111" spans="4:12" x14ac:dyDescent="0.2">
      <c r="F111" s="167"/>
      <c r="G111" s="167"/>
    </row>
    <row r="113" spans="4:11" x14ac:dyDescent="0.2">
      <c r="D113" s="168"/>
      <c r="F113" s="168"/>
      <c r="G113" s="168"/>
      <c r="H113" s="169"/>
      <c r="I113" s="169"/>
      <c r="J113" s="168"/>
      <c r="K113" s="168"/>
    </row>
    <row r="114" spans="4:11" x14ac:dyDescent="0.2">
      <c r="D114" s="168"/>
      <c r="E114" s="167"/>
      <c r="F114" s="168"/>
      <c r="G114" s="168"/>
      <c r="H114" s="169"/>
      <c r="I114" s="169"/>
      <c r="J114" s="168"/>
      <c r="K114" s="168"/>
    </row>
    <row r="115" spans="4:11" x14ac:dyDescent="0.2">
      <c r="D115" s="168"/>
      <c r="E115" s="167"/>
      <c r="F115" s="168"/>
      <c r="G115" s="168"/>
      <c r="H115" s="169"/>
      <c r="I115" s="169"/>
      <c r="J115" s="168"/>
      <c r="K115" s="168"/>
    </row>
    <row r="116" spans="4:11" x14ac:dyDescent="0.2">
      <c r="D116" s="168"/>
      <c r="E116" s="167"/>
      <c r="F116" s="168"/>
      <c r="G116" s="168"/>
      <c r="H116" s="169"/>
      <c r="I116" s="169"/>
      <c r="J116" s="168"/>
      <c r="K116" s="168"/>
    </row>
    <row r="117" spans="4:11" x14ac:dyDescent="0.2">
      <c r="D117" s="168"/>
      <c r="E117" s="167"/>
      <c r="F117" s="168"/>
      <c r="G117" s="168"/>
      <c r="H117" s="169"/>
      <c r="I117" s="169"/>
      <c r="J117" s="168"/>
      <c r="K117" s="168"/>
    </row>
    <row r="118" spans="4:11" x14ac:dyDescent="0.2">
      <c r="D118" s="168"/>
      <c r="E118" s="167"/>
      <c r="F118" s="168"/>
      <c r="G118" s="168"/>
      <c r="H118" s="169"/>
      <c r="I118" s="169"/>
      <c r="J118" s="168"/>
      <c r="K118" s="168"/>
    </row>
    <row r="119" spans="4:11" x14ac:dyDescent="0.2">
      <c r="D119" s="168"/>
      <c r="E119" s="167"/>
      <c r="F119" s="168"/>
      <c r="G119" s="168"/>
      <c r="H119" s="169"/>
      <c r="I119" s="169"/>
      <c r="J119" s="168"/>
      <c r="K119" s="168"/>
    </row>
    <row r="120" spans="4:11" x14ac:dyDescent="0.2">
      <c r="D120" s="168"/>
      <c r="E120" s="167"/>
      <c r="F120" s="168"/>
      <c r="G120" s="168"/>
      <c r="H120" s="169"/>
      <c r="I120" s="169"/>
      <c r="J120" s="168"/>
      <c r="K120" s="168"/>
    </row>
    <row r="121" spans="4:11" x14ac:dyDescent="0.2">
      <c r="D121" s="168"/>
      <c r="E121" s="167"/>
      <c r="F121" s="168"/>
      <c r="G121" s="168"/>
      <c r="H121" s="169"/>
      <c r="I121" s="169"/>
      <c r="J121" s="168"/>
      <c r="K121" s="168"/>
    </row>
    <row r="122" spans="4:11" x14ac:dyDescent="0.2">
      <c r="D122" s="168"/>
      <c r="E122" s="167"/>
      <c r="F122" s="168"/>
      <c r="G122" s="168"/>
      <c r="H122" s="169"/>
      <c r="I122" s="169"/>
      <c r="J122" s="168"/>
      <c r="K122" s="168"/>
    </row>
    <row r="123" spans="4:11" x14ac:dyDescent="0.2">
      <c r="D123" s="168"/>
      <c r="E123" s="167"/>
      <c r="F123" s="168"/>
      <c r="G123" s="168"/>
      <c r="H123" s="169"/>
      <c r="I123" s="169"/>
      <c r="J123" s="168"/>
      <c r="K123" s="168"/>
    </row>
    <row r="127" spans="4:11" x14ac:dyDescent="0.2">
      <c r="H127" s="167"/>
      <c r="I127" s="167"/>
    </row>
    <row r="128" spans="4:11" x14ac:dyDescent="0.2">
      <c r="D128" s="167"/>
      <c r="E128" s="167"/>
    </row>
    <row r="129" spans="4:12" x14ac:dyDescent="0.2">
      <c r="D129" s="167"/>
      <c r="E129" s="167"/>
      <c r="F129" s="167"/>
      <c r="G129" s="167"/>
      <c r="H129" s="167"/>
      <c r="I129" s="167"/>
      <c r="J129" s="167"/>
      <c r="K129" s="167"/>
    </row>
    <row r="130" spans="4:12" x14ac:dyDescent="0.2">
      <c r="L130" s="167"/>
    </row>
    <row r="131" spans="4:12" x14ac:dyDescent="0.2">
      <c r="F131" s="167"/>
      <c r="G131" s="167"/>
    </row>
    <row r="133" spans="4:12" x14ac:dyDescent="0.2">
      <c r="D133" s="168"/>
      <c r="F133" s="168"/>
      <c r="G133" s="168"/>
      <c r="H133" s="169"/>
      <c r="I133" s="169"/>
      <c r="J133" s="168"/>
      <c r="K133" s="168"/>
    </row>
    <row r="134" spans="4:12" x14ac:dyDescent="0.2">
      <c r="D134" s="168"/>
      <c r="E134" s="167"/>
      <c r="F134" s="168"/>
      <c r="G134" s="168"/>
      <c r="H134" s="169"/>
      <c r="I134" s="169"/>
      <c r="J134" s="168"/>
      <c r="K134" s="168"/>
    </row>
    <row r="135" spans="4:12" x14ac:dyDescent="0.2">
      <c r="D135" s="168"/>
      <c r="E135" s="167"/>
      <c r="F135" s="168"/>
      <c r="G135" s="168"/>
      <c r="H135" s="169"/>
      <c r="I135" s="169"/>
      <c r="J135" s="168"/>
      <c r="K135" s="168"/>
    </row>
    <row r="136" spans="4:12" x14ac:dyDescent="0.2">
      <c r="D136" s="168"/>
      <c r="E136" s="167"/>
      <c r="F136" s="168"/>
      <c r="G136" s="168"/>
      <c r="H136" s="169"/>
      <c r="I136" s="169"/>
      <c r="J136" s="168"/>
      <c r="K136" s="168"/>
    </row>
    <row r="137" spans="4:12" x14ac:dyDescent="0.2">
      <c r="D137" s="168"/>
      <c r="E137" s="167"/>
      <c r="F137" s="168"/>
      <c r="G137" s="168"/>
      <c r="H137" s="169"/>
      <c r="I137" s="169"/>
      <c r="J137" s="168"/>
      <c r="K137" s="168"/>
    </row>
    <row r="138" spans="4:12" x14ac:dyDescent="0.2">
      <c r="D138" s="168"/>
      <c r="E138" s="167"/>
      <c r="F138" s="168"/>
      <c r="G138" s="168"/>
      <c r="H138" s="169"/>
      <c r="I138" s="169"/>
      <c r="J138" s="168"/>
      <c r="K138" s="168"/>
    </row>
    <row r="139" spans="4:12" x14ac:dyDescent="0.2">
      <c r="D139" s="168"/>
      <c r="E139" s="167"/>
      <c r="F139" s="168"/>
      <c r="G139" s="168"/>
      <c r="H139" s="169"/>
      <c r="I139" s="169"/>
      <c r="J139" s="168"/>
      <c r="K139" s="168"/>
    </row>
    <row r="140" spans="4:12" x14ac:dyDescent="0.2">
      <c r="D140" s="168"/>
      <c r="E140" s="167"/>
      <c r="F140" s="168"/>
      <c r="G140" s="168"/>
      <c r="H140" s="169"/>
      <c r="I140" s="169"/>
      <c r="J140" s="168"/>
      <c r="K140" s="168"/>
    </row>
    <row r="141" spans="4:12" x14ac:dyDescent="0.2">
      <c r="D141" s="168"/>
      <c r="E141" s="167"/>
      <c r="F141" s="168"/>
      <c r="G141" s="168"/>
      <c r="H141" s="169"/>
      <c r="I141" s="169"/>
      <c r="J141" s="168"/>
      <c r="K141" s="168"/>
    </row>
    <row r="142" spans="4:12" x14ac:dyDescent="0.2">
      <c r="D142" s="168"/>
      <c r="E142" s="167"/>
      <c r="F142" s="168"/>
      <c r="G142" s="168"/>
      <c r="H142" s="169"/>
      <c r="I142" s="169"/>
      <c r="J142" s="168"/>
      <c r="K142" s="168"/>
    </row>
    <row r="143" spans="4:12" x14ac:dyDescent="0.2">
      <c r="D143" s="168"/>
      <c r="E143" s="167"/>
      <c r="F143" s="168"/>
      <c r="G143" s="168"/>
      <c r="H143" s="169"/>
      <c r="I143" s="169"/>
      <c r="J143" s="168"/>
      <c r="K143" s="168"/>
    </row>
  </sheetData>
  <mergeCells count="13">
    <mergeCell ref="K15:L15"/>
    <mergeCell ref="F2:K2"/>
    <mergeCell ref="A4:K4"/>
    <mergeCell ref="F6:J6"/>
    <mergeCell ref="K10:L12"/>
    <mergeCell ref="K13:L13"/>
    <mergeCell ref="J40:K40"/>
    <mergeCell ref="G32:H32"/>
    <mergeCell ref="K35:L35"/>
    <mergeCell ref="G36:H36"/>
    <mergeCell ref="K36:L36"/>
    <mergeCell ref="H39:I39"/>
    <mergeCell ref="J39:K39"/>
  </mergeCells>
  <printOptions horizontalCentered="1" verticalCentered="1"/>
  <pageMargins left="0" right="0" top="0.55118110236220474" bottom="0.55118110236220474" header="0.31496062992125984" footer="0.31496062992125984"/>
  <pageSetup paperSize="9" scale="76" orientation="landscape" r:id="rId1"/>
  <headerFooter>
    <oddHeader>&amp;LUDOGEC Vendée
Service RH&amp;C&amp;F&amp;ROutil de gestion prévisionnelle</oddHeader>
    <oddFooter>&amp;LPôle paye OGEC 1er degré&amp;CSous réserve des évolutions de la valeur du point, du SMIC, des taux et des réductions générales de cotisations&amp;R&amp;A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CDI (réf. 1477h)</vt:lpstr>
      <vt:lpstr>CDI (réf. 1565h)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Yolande Gaborit</dc:creator>
  <cp:lastModifiedBy>Yolande Gaborit</cp:lastModifiedBy>
  <cp:lastPrinted>2022-08-25T10:36:05Z</cp:lastPrinted>
  <dcterms:created xsi:type="dcterms:W3CDTF">2021-07-08T14:13:27Z</dcterms:created>
  <dcterms:modified xsi:type="dcterms:W3CDTF">2022-10-12T08:17:25Z</dcterms:modified>
</cp:coreProperties>
</file>